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2\3 Marzo\"/>
    </mc:Choice>
  </mc:AlternateContent>
  <xr:revisionPtr revIDLastSave="0" documentId="13_ncr:1_{2A0CF2FC-0A35-4426-B559-A5B3F1B767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/>
  <c r="E57" i="1"/>
  <c r="F1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<sst xmlns="http://schemas.openxmlformats.org/spreadsheetml/2006/main" count="308" uniqueCount="132">
  <si>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</si>
  <si>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</si>
  <si>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</si>
  <si>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</si>
  <si>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</si>
  <si>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</si>
  <si>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</si>
  <si>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</si>
  <si>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</si>
  <si>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</si>
  <si>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</si>
  <si>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</si>
  <si>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</si>
  <si>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</si>
  <si>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</si>
  <si>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</si>
  <si>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</si>
  <si>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</si>
  <si>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</si>
  <si>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</si>
  <si>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</si>
  <si>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</si>
  <si>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</si>
  <si>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</si>
  <si>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</si>
  <si>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</si>
  <si>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</si>
  <si>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</si>
  <si>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</si>
  <si>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</si>
  <si>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</si>
  <si>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</si>
  <si>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</si>
  <si>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</si>
  <si>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</si>
  <si>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</si>
  <si>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</si>
  <si>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</si>
  <si>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</si>
  <si>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</si>
  <si>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</si>
  <si>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</si>
  <si>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</si>
  <si>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</si>
  <si>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</si>
  <si>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</si>
  <si>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</si>
  <si>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</si>
  <si>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</si>
  <si>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</si>
  <si>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</si>
  <si>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</si>
  <si>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</si>
  <si>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</si>
  <si>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</si>
  <si>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</si>
  <si>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</si>
  <si>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</si>
  <si>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</si>
  <si>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</si>
  <si>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</si>
  <si>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</si>
  <si>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</si>
  <si>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</si>
  <si>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</si>
  <si>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</si>
  <si>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</si>
  <si>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</si>
  <si>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</si>
  <si>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</si>
  <si>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</si>
  <si>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</si>
  <si>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</si>
  <si>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</si>
  <si>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</si>
  <si>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</si>
  <si>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</si>
  <si>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</si>
  <si>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</si>
  <si>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</si>
  <si>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</si>
  <si>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</si>
  <si>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</si>
  <si>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</si>
  <si>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</si>
  <si>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</si>
  <si>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</si>
  <si>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</si>
  <si>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</si>
  <si>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</si>
  <si>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</si>
  <si>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</si>
  <si>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</si>
  <si>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</si>
  <si>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</si>
  <si>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</si>
  <si>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</si>
  <si>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</si>
  <si>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</si>
  <si>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</si>
  <si>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</si>
  <si>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</si>
  <si>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</si>
  <si>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</si>
  <si>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</si>
  <si>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</si>
  <si>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</si>
  <si>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</si>
  <si>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</si>
  <si>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</si>
  <si>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</si>
  <si>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</si>
  <si>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</si>
  <si>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</si>
  <si>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</si>
  <si>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</si>
  <si>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</si>
  <si>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</si>
  <si>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</si>
  <si>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</si>
  <si>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</si>
  <si>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</si>
  <si>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</si>
  <si>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</si>
  <si>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</si>
  <si>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1. RESUMEN NACIONAL AL MES DE FEBRERO 2022</t>
  </si>
  <si>
    <t>Febrero</t>
  </si>
  <si>
    <t>Enero - Febrero</t>
  </si>
  <si>
    <t>Grafico N° 11: Generación de energía eléctrica por Región, al mes de febrero 2022</t>
  </si>
  <si>
    <t>Cuadro N° 8: Producción de energía eléctrica nacional por zona del país, al mes de febrero</t>
  </si>
  <si>
    <t>3.2 Producción de energía eléctrica (GWh) por origen y zona al mes de febrero 2022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</si>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</sst>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  <numFmt numFmtId="183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99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178" fontId="76" fillId="0" borderId="73" xfId="33743" applyNumberFormat="1" applyFont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3" xfId="0" applyNumberFormat="1" applyFill="1" applyBorder="1"/>
    <xf numFmtId="4" fontId="0" fillId="68" borderId="63" xfId="0" applyNumberFormat="1" applyFont="1" applyFill="1" applyBorder="1" applyAlignment="1">
      <alignment vertical="center"/>
    </xf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3" xfId="0" applyNumberFormat="1" applyFont="1" applyFill="1" applyBorder="1" applyAlignment="1">
      <alignment vertical="center"/>
    </xf>
    <xf numFmtId="182" fontId="99" fillId="0" borderId="78" xfId="0" applyNumberFormat="1" applyFont="1" applyBorder="1"/>
    <xf numFmtId="182" fontId="99" fillId="0" borderId="107" xfId="0" applyNumberFormat="1" applyFont="1" applyBorder="1"/>
    <xf numFmtId="3" fontId="0" fillId="68" borderId="60" xfId="0" applyNumberFormat="1" applyFill="1" applyBorder="1"/>
    <xf numFmtId="182" fontId="0" fillId="68" borderId="27" xfId="0" applyNumberFormat="1" applyFont="1" applyFill="1" applyBorder="1" applyAlignment="1">
      <alignment vertical="center"/>
    </xf>
    <xf numFmtId="182" fontId="0" fillId="68" borderId="63" xfId="0" applyNumberFormat="1" applyFont="1" applyFill="1" applyBorder="1" applyAlignment="1">
      <alignment vertical="center"/>
    </xf>
    <xf numFmtId="167" fontId="0" fillId="68" borderId="62" xfId="0" applyNumberForma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183" fontId="35" fillId="68" borderId="22" xfId="33743" applyNumberFormat="1" applyFont="1" applyFill="1" applyBorder="1" applyAlignment="1">
      <alignment horizontal="center" vertical="center"/>
    </xf>
    <xf numFmtId="167" fontId="0" fillId="68" borderId="84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178" fontId="96" fillId="68" borderId="34" xfId="33743" applyNumberFormat="1" applyFont="1" applyFill="1" applyBorder="1" applyAlignment="1">
      <alignment horizontal="center"/>
    </xf>
    <xf numFmtId="9" fontId="96" fillId="0" borderId="32" xfId="33743" applyNumberFormat="1" applyFont="1" applyBorder="1" applyAlignment="1">
      <alignment horizontal="center"/>
    </xf>
    <xf numFmtId="3" fontId="99" fillId="0" borderId="85" xfId="0" applyNumberFormat="1" applyFont="1" applyBorder="1"/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Febrero 2022</a:t>
            </a:r>
          </a:p>
          <a:p>
            <a:pPr>
              <a:defRPr sz="800" b="1"/>
            </a:pPr>
            <a:r>
              <a:rPr lang="es-PE" sz="800" b="1"/>
              <a:t>Total : 4 686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54.776498317826558</c:v>
                </c:pt>
                <c:pt idx="1">
                  <c:v>113.76657342933208</c:v>
                </c:pt>
                <c:pt idx="2">
                  <c:v>3002.6933427353015</c:v>
                </c:pt>
                <c:pt idx="3">
                  <c:v>1325.6760526243304</c:v>
                </c:pt>
                <c:pt idx="4">
                  <c:v>189.39565876999995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2476.5505712530339</c:v>
                </c:pt>
                <c:pt idx="2" formatCode="_ * #,##0.00_ ;_ * \-#,##0.00_ ;_ * &quot;-&quot;??_ ;_ @_ ">
                  <c:v>6.4619999999999999E-3</c:v>
                </c:pt>
                <c:pt idx="3">
                  <c:v>1273.0720886712584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53.676715952500004</c:v>
                </c:pt>
                <c:pt idx="1">
                  <c:v>418.87336822427829</c:v>
                </c:pt>
                <c:pt idx="2">
                  <c:v>63.145132817500013</c:v>
                </c:pt>
                <c:pt idx="3">
                  <c:v>25.659423840721615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3749.6291219242921</c:v>
                </c:pt>
                <c:pt idx="1">
                  <c:v>561.35464083499994</c:v>
                </c:pt>
                <c:pt idx="2">
                  <c:v>339.87436311750002</c:v>
                </c:pt>
                <c:pt idx="3">
                  <c:v>35.450000000000003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CALLAO</c:v>
                </c:pt>
                <c:pt idx="7">
                  <c:v>CAJAMARCA</c:v>
                </c:pt>
                <c:pt idx="8">
                  <c:v>PUNO</c:v>
                </c:pt>
                <c:pt idx="9">
                  <c:v>ICA</c:v>
                </c:pt>
                <c:pt idx="10">
                  <c:v>PIURA</c:v>
                </c:pt>
                <c:pt idx="11">
                  <c:v>LA LIBERTAD</c:v>
                </c:pt>
                <c:pt idx="12">
                  <c:v>PASCO</c:v>
                </c:pt>
                <c:pt idx="13">
                  <c:v>AREQUIPA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UCAYALI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1739.0656777575005</c:v>
                </c:pt>
                <c:pt idx="1">
                  <c:v>853.41637808179155</c:v>
                </c:pt>
                <c:pt idx="2">
                  <c:v>327.31518264250013</c:v>
                </c:pt>
                <c:pt idx="3">
                  <c:v>322.53362063000026</c:v>
                </c:pt>
                <c:pt idx="4">
                  <c:v>254.1463000049998</c:v>
                </c:pt>
                <c:pt idx="5">
                  <c:v>182.44625117000007</c:v>
                </c:pt>
                <c:pt idx="6">
                  <c:v>152.05158576000002</c:v>
                </c:pt>
                <c:pt idx="7">
                  <c:v>133.02914336500007</c:v>
                </c:pt>
                <c:pt idx="8">
                  <c:v>114.79145748249992</c:v>
                </c:pt>
                <c:pt idx="9">
                  <c:v>101.60764941500003</c:v>
                </c:pt>
                <c:pt idx="10">
                  <c:v>97.71846884499999</c:v>
                </c:pt>
                <c:pt idx="11">
                  <c:v>94.693088517500016</c:v>
                </c:pt>
                <c:pt idx="12">
                  <c:v>89.277321062499979</c:v>
                </c:pt>
                <c:pt idx="13">
                  <c:v>87.324590325000031</c:v>
                </c:pt>
                <c:pt idx="14">
                  <c:v>56.397722187500001</c:v>
                </c:pt>
                <c:pt idx="15">
                  <c:v>35.450000000000003</c:v>
                </c:pt>
                <c:pt idx="16">
                  <c:v>13.218560435000001</c:v>
                </c:pt>
                <c:pt idx="17">
                  <c:v>11.823055985</c:v>
                </c:pt>
                <c:pt idx="18">
                  <c:v>5.3472523899999995</c:v>
                </c:pt>
                <c:pt idx="19">
                  <c:v>4.5253000000000005</c:v>
                </c:pt>
                <c:pt idx="20">
                  <c:v>4.4002400000000002</c:v>
                </c:pt>
                <c:pt idx="21">
                  <c:v>3.4605600000000001</c:v>
                </c:pt>
                <c:pt idx="22">
                  <c:v>1.1005499999999999</c:v>
                </c:pt>
                <c:pt idx="23">
                  <c:v>1.0606199999999999</c:v>
                </c:pt>
                <c:pt idx="24">
                  <c:v>0.10754981999999999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3016.6103381657558</c:v>
                </c:pt>
                <c:pt idx="1">
                  <c:v>1250.4308680956694</c:v>
                </c:pt>
                <c:pt idx="2">
                  <c:v>114.15306832500001</c:v>
                </c:pt>
                <c:pt idx="3">
                  <c:v>63.767898840000001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3057.4698410531282</c:v>
                </c:pt>
                <c:pt idx="1">
                  <c:v>1439.4426260536625</c:v>
                </c:pt>
                <c:pt idx="2">
                  <c:v>126.25052595249994</c:v>
                </c:pt>
                <c:pt idx="3">
                  <c:v>63.145132817500013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159.0443866809259</c:v>
                </c:pt>
                <c:pt idx="1">
                  <c:v>179.1853331745352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4285.917786745501</c:v>
                </c:pt>
                <c:pt idx="1">
                  <c:v>4507.1227927022564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2789.6364383907558</c:v>
                </c:pt>
                <c:pt idx="1">
                  <c:v>2829.3430473456278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1205.3361645106693</c:v>
                </c:pt>
                <c:pt idx="1">
                  <c:v>1399.43226582336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226.97389977500001</c:v>
                </c:pt>
                <c:pt idx="1">
                  <c:v>228.12679370750024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223.01567075</c:v>
                </c:pt>
                <c:pt idx="1">
                  <c:v>229.40601900030236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3057.4698410531282</c:v>
                </c:pt>
                <c:pt idx="1">
                  <c:v>1302.6955765785647</c:v>
                </c:pt>
                <c:pt idx="2">
                  <c:v>96.526221083951896</c:v>
                </c:pt>
                <c:pt idx="3">
                  <c:v>40.01036023030241</c:v>
                </c:pt>
                <c:pt idx="4">
                  <c:v>126.25052595249994</c:v>
                </c:pt>
                <c:pt idx="5">
                  <c:v>63.145132817500013</c:v>
                </c:pt>
                <c:pt idx="6" formatCode="#,##0.0">
                  <c:v>0.21046816084426437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4221.9465026764256</c:v>
                </c:pt>
                <c:pt idx="1">
                  <c:v>4456.9021068764896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223.01567074999997</c:v>
                </c:pt>
                <c:pt idx="1">
                  <c:v>229.40601900030236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819053334353E-2"/>
                  <c:y val="3.91331014889982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303023288981958E-2"/>
                  <c:y val="-4.5857380899834878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5.0172681352221048E-2</c:v>
                </c:pt>
                <c:pt idx="1">
                  <c:v>4.8952397673889897E-2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4467361856936206"/>
                  <c:y val="-0.120828244954725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3016.6103381657558</c:v>
                </c:pt>
                <c:pt idx="1">
                  <c:v>1131.5728192345002</c:v>
                </c:pt>
                <c:pt idx="2">
                  <c:v>73.558345276169348</c:v>
                </c:pt>
                <c:pt idx="3" formatCode="#,##0.00">
                  <c:v>0.20499999999999999</c:v>
                </c:pt>
                <c:pt idx="4">
                  <c:v>45.094703584999991</c:v>
                </c:pt>
                <c:pt idx="5">
                  <c:v>114.15306832500001</c:v>
                </c:pt>
                <c:pt idx="6">
                  <c:v>63.767898840000001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0617613973811689"/>
                  <c:y val="-0.13523810392525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9.4089860584307822E-2"/>
                  <c:y val="0.28961396644567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3057.4698410531282</c:v>
                </c:pt>
                <c:pt idx="1">
                  <c:v>1302.6955765785647</c:v>
                </c:pt>
                <c:pt idx="2">
                  <c:v>96.526221083951896</c:v>
                </c:pt>
                <c:pt idx="3" formatCode="#,##0.00">
                  <c:v>0.21046816084426437</c:v>
                </c:pt>
                <c:pt idx="4">
                  <c:v>40.01036023030241</c:v>
                </c:pt>
                <c:pt idx="5">
                  <c:v>126.25052595249994</c:v>
                </c:pt>
                <c:pt idx="6">
                  <c:v>63.145132817500013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72.573809999999938</c:v>
                </c:pt>
                <c:pt idx="1">
                  <c:v>162.0459015758158</c:v>
                </c:pt>
                <c:pt idx="2">
                  <c:v>0</c:v>
                </c:pt>
                <c:pt idx="3">
                  <c:v>105.25465154168427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febrero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61354" y="953714"/>
          <a:ext cx="6866292" cy="239879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3948" y="3313521"/>
          <a:ext cx="4118827" cy="5701542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="90" zoomScaleNormal="120" zoomScaleSheetLayoutView="90" workbookViewId="0">
      <selection activeCell="M53" sqref="M53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6.4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8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8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63" t="s">
        <v>64</v>
      </c>
      <c r="R11" s="142" t="s">
        <v>41</v>
      </c>
      <c r="S11" s="143">
        <f>E12</f>
        <v>54.776498317826558</v>
      </c>
    </row>
    <row r="12" spans="2:19" s="1" customFormat="1">
      <c r="B12" s="8"/>
      <c r="C12" s="133" t="s">
        <v>66</v>
      </c>
      <c r="D12" s="134">
        <v>3002.6933427353015</v>
      </c>
      <c r="E12" s="135">
        <v>54.776498317826558</v>
      </c>
      <c r="F12" s="136">
        <f>SUM(D12:E12)</f>
        <v>3057.4698410531282</v>
      </c>
      <c r="G12" s="327">
        <f>(F12/F$16)</f>
        <v>0.65242612285146895</v>
      </c>
      <c r="H12" s="9"/>
      <c r="I12" s="9"/>
      <c r="J12" s="9"/>
      <c r="K12" s="9"/>
      <c r="Q12" s="363"/>
      <c r="R12" s="142" t="s">
        <v>73</v>
      </c>
      <c r="S12" s="143">
        <f>E13</f>
        <v>113.76657342933208</v>
      </c>
    </row>
    <row r="13" spans="2:19" s="1" customFormat="1">
      <c r="B13" s="8"/>
      <c r="C13" s="133" t="s">
        <v>65</v>
      </c>
      <c r="D13" s="134">
        <v>1325.6760526243304</v>
      </c>
      <c r="E13" s="135">
        <v>113.76657342933208</v>
      </c>
      <c r="F13" s="136">
        <f>SUM(D13:E13)</f>
        <v>1439.4426260536625</v>
      </c>
      <c r="G13" s="327">
        <f>(F13/F$16)+0.001</f>
        <v>0.30815919384501594</v>
      </c>
      <c r="H13" s="9"/>
      <c r="I13" s="9"/>
      <c r="J13" s="9"/>
      <c r="K13" s="9"/>
      <c r="Q13" s="363" t="s">
        <v>88</v>
      </c>
      <c r="R13" s="142" t="s">
        <v>41</v>
      </c>
      <c r="S13" s="143">
        <f>D12</f>
        <v>3002.6933427353015</v>
      </c>
    </row>
    <row r="14" spans="2:19" s="1" customFormat="1">
      <c r="B14" s="8"/>
      <c r="C14" s="133" t="s">
        <v>67</v>
      </c>
      <c r="D14" s="134">
        <v>126.25052595249994</v>
      </c>
      <c r="E14" s="137"/>
      <c r="F14" s="136">
        <f>SUM(D14:E14)</f>
        <v>126.25052595249994</v>
      </c>
      <c r="G14" s="327">
        <f>(F14/F$16)</f>
        <v>2.694029555064285E-2</v>
      </c>
      <c r="H14" s="9"/>
      <c r="I14" s="9"/>
      <c r="J14" s="9"/>
      <c r="K14" s="9"/>
      <c r="Q14" s="363"/>
      <c r="R14" s="142" t="s">
        <v>73</v>
      </c>
      <c r="S14" s="143">
        <f>D13</f>
        <v>1325.6760526243304</v>
      </c>
    </row>
    <row r="15" spans="2:19" s="1" customFormat="1" ht="13.8" thickBot="1">
      <c r="B15" s="8"/>
      <c r="C15" s="138" t="s">
        <v>5</v>
      </c>
      <c r="D15" s="139">
        <v>63.145132817500013</v>
      </c>
      <c r="E15" s="140"/>
      <c r="F15" s="141">
        <f>SUM(D15:E15)</f>
        <v>63.145132817500013</v>
      </c>
      <c r="G15" s="328">
        <f>(F15/F$16)</f>
        <v>1.3474387752872267E-2</v>
      </c>
      <c r="H15" s="9"/>
      <c r="I15" s="9"/>
      <c r="J15" s="9"/>
      <c r="K15" s="9"/>
      <c r="Q15" s="363"/>
      <c r="R15" s="142" t="s">
        <v>87</v>
      </c>
      <c r="S15" s="143">
        <f>SUM(D14:D15)</f>
        <v>189.39565876999995</v>
      </c>
    </row>
    <row r="16" spans="2:19" s="1" customFormat="1" ht="13.8" thickTop="1">
      <c r="B16" s="8"/>
      <c r="C16" s="241" t="s">
        <v>71</v>
      </c>
      <c r="D16" s="242">
        <f>SUM(D12:D15)</f>
        <v>4517.7650541296316</v>
      </c>
      <c r="E16" s="243">
        <f>SUM(E12:E15)</f>
        <v>168.54307174715865</v>
      </c>
      <c r="F16" s="244">
        <f>SUM(F12:F15)</f>
        <v>4686.3081258767907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9">
        <f>D16/F16</f>
        <v>0.96403499999999998</v>
      </c>
      <c r="E17" s="310">
        <f>E16/F16</f>
        <v>3.5964999999999976E-2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59" t="s">
        <v>112</v>
      </c>
      <c r="D23" s="360"/>
      <c r="E23" s="364" t="s">
        <v>126</v>
      </c>
      <c r="F23" s="365"/>
      <c r="G23" s="147" t="s">
        <v>74</v>
      </c>
      <c r="H23" s="366" t="s">
        <v>127</v>
      </c>
      <c r="I23" s="367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159.0443866809259</v>
      </c>
      <c r="S24" s="143">
        <f>F29</f>
        <v>179.1853331745352</v>
      </c>
    </row>
    <row r="25" spans="2:19" s="1" customFormat="1">
      <c r="B25" s="8"/>
      <c r="C25" s="355" t="s">
        <v>0</v>
      </c>
      <c r="D25" s="356"/>
      <c r="E25" s="187">
        <f>SUM(E26:E28)</f>
        <v>4285.917786745501</v>
      </c>
      <c r="F25" s="188">
        <f>SUM(F26:F28)</f>
        <v>4507.1227927022564</v>
      </c>
      <c r="G25" s="189">
        <f>((F25/E25)-1)</f>
        <v>5.161205066528507E-2</v>
      </c>
      <c r="H25" s="232">
        <f>SUM(H26:H28)</f>
        <v>8982.5717815355038</v>
      </c>
      <c r="I25" s="188">
        <f>SUM(I26:I28)</f>
        <v>9350.2919344647544</v>
      </c>
      <c r="J25" s="189">
        <f>((I25/H25)-1)</f>
        <v>4.0937068121752462E-2</v>
      </c>
      <c r="K25" s="9"/>
      <c r="Q25" s="142" t="s">
        <v>0</v>
      </c>
      <c r="R25" s="143">
        <f>E25</f>
        <v>4285.917786745501</v>
      </c>
      <c r="S25" s="143">
        <f>F25</f>
        <v>4507.1227927022564</v>
      </c>
    </row>
    <row r="26" spans="2:19" s="1" customFormat="1">
      <c r="B26" s="8"/>
      <c r="C26" s="261" t="s">
        <v>62</v>
      </c>
      <c r="D26" s="270" t="s">
        <v>102</v>
      </c>
      <c r="E26" s="154">
        <v>4154.3506701400011</v>
      </c>
      <c r="F26" s="155">
        <v>4321.2422742749941</v>
      </c>
      <c r="G26" s="273">
        <f t="shared" ref="G26:G32" si="0">((F26/E26)-1)</f>
        <v>4.0172729118548078E-2</v>
      </c>
      <c r="H26" s="233">
        <v>8711.7892750925039</v>
      </c>
      <c r="I26" s="155">
        <v>9005.210846037493</v>
      </c>
      <c r="J26" s="156">
        <f t="shared" ref="J26:J32" si="1">((I26/H26)-1)</f>
        <v>3.3680976625995562E-2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86.285520605499997</v>
      </c>
      <c r="F27" s="265">
        <v>139.53117369679333</v>
      </c>
      <c r="G27" s="274">
        <f t="shared" si="0"/>
        <v>0.61708676864492795</v>
      </c>
      <c r="H27" s="266">
        <v>174.86862444300002</v>
      </c>
      <c r="I27" s="265">
        <v>251.52180569679336</v>
      </c>
      <c r="J27" s="274">
        <f t="shared" si="1"/>
        <v>0.4383472535336328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45.281596</v>
      </c>
      <c r="F28" s="155">
        <v>46.34934473046863</v>
      </c>
      <c r="G28" s="273">
        <f t="shared" si="0"/>
        <v>2.3580192060117078E-2</v>
      </c>
      <c r="H28" s="233">
        <v>95.913882000000001</v>
      </c>
      <c r="I28" s="155">
        <v>93.559282730468638</v>
      </c>
      <c r="J28" s="273">
        <f t="shared" si="1"/>
        <v>-2.4549097799329678E-2</v>
      </c>
      <c r="K28" s="9"/>
    </row>
    <row r="29" spans="2:19" s="1" customFormat="1">
      <c r="B29" s="8"/>
      <c r="C29" s="355" t="s">
        <v>76</v>
      </c>
      <c r="D29" s="356"/>
      <c r="E29" s="187">
        <f>SUM(E30:E31)</f>
        <v>159.0443866809259</v>
      </c>
      <c r="F29" s="188">
        <f>SUM(F30:F31)</f>
        <v>179.1853331745352</v>
      </c>
      <c r="G29" s="189">
        <f t="shared" si="0"/>
        <v>0.12663726720526114</v>
      </c>
      <c r="H29" s="232">
        <f>SUM(H30:H31)</f>
        <v>334.34268947815707</v>
      </c>
      <c r="I29" s="188">
        <f>SUM(I30:I31)</f>
        <v>353.55867798936026</v>
      </c>
      <c r="J29" s="189">
        <f t="shared" si="1"/>
        <v>5.747393053874017E-2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154">
        <v>36.290713470500016</v>
      </c>
      <c r="F30" s="155">
        <v>56.991606157845176</v>
      </c>
      <c r="G30" s="273">
        <f t="shared" si="0"/>
        <v>0.57041845441182892</v>
      </c>
      <c r="H30" s="233">
        <v>75.822819970499992</v>
      </c>
      <c r="I30" s="155">
        <v>100.30614664784518</v>
      </c>
      <c r="J30" s="273">
        <f t="shared" si="1"/>
        <v>0.32290182146840229</v>
      </c>
      <c r="K30" s="9"/>
    </row>
    <row r="31" spans="2:19" s="1" customFormat="1" ht="13.8" thickBot="1">
      <c r="B31" s="8"/>
      <c r="C31" s="268" t="s">
        <v>64</v>
      </c>
      <c r="D31" s="269"/>
      <c r="E31" s="158">
        <v>122.75367321042589</v>
      </c>
      <c r="F31" s="159">
        <v>122.19372701669003</v>
      </c>
      <c r="G31" s="396">
        <f t="shared" si="0"/>
        <v>-4.5615432849490656E-3</v>
      </c>
      <c r="H31" s="234">
        <v>258.51986950765706</v>
      </c>
      <c r="I31" s="159">
        <v>253.25253134151507</v>
      </c>
      <c r="J31" s="293">
        <f t="shared" si="1"/>
        <v>-2.0374983850074968E-2</v>
      </c>
      <c r="K31" s="9"/>
    </row>
    <row r="32" spans="2:19" s="1" customFormat="1" ht="14.4" thickTop="1" thickBot="1">
      <c r="B32" s="8"/>
      <c r="C32" s="357" t="s">
        <v>108</v>
      </c>
      <c r="D32" s="358"/>
      <c r="E32" s="190">
        <f>SUM(E25,E29)</f>
        <v>4444.9621734264265</v>
      </c>
      <c r="F32" s="191">
        <f>SUM(F25,F29)</f>
        <v>4686.3081258767916</v>
      </c>
      <c r="G32" s="192">
        <f t="shared" si="0"/>
        <v>5.4296514353534331E-2</v>
      </c>
      <c r="H32" s="235">
        <f>SUM(H25,H29)</f>
        <v>9316.9144710136607</v>
      </c>
      <c r="I32" s="191">
        <f>SUM(I25,I29)</f>
        <v>9703.8506124541145</v>
      </c>
      <c r="J32" s="192">
        <f t="shared" si="1"/>
        <v>4.1530502683508663E-2</v>
      </c>
      <c r="K32" s="9"/>
    </row>
    <row r="33" spans="2:19" s="1" customFormat="1">
      <c r="B33" s="8"/>
      <c r="C33" s="304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64" t="s">
        <v>126</v>
      </c>
      <c r="F38" s="365"/>
      <c r="G38" s="361" t="s">
        <v>74</v>
      </c>
      <c r="H38" s="366" t="s">
        <v>127</v>
      </c>
      <c r="I38" s="367"/>
      <c r="J38" s="361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62"/>
      <c r="H39" s="231">
        <v>2021</v>
      </c>
      <c r="I39" s="151">
        <v>2022</v>
      </c>
      <c r="J39" s="362"/>
      <c r="K39" s="9"/>
      <c r="Q39" s="142" t="s">
        <v>66</v>
      </c>
      <c r="R39" s="143">
        <f>SUM(E41,E46)</f>
        <v>3016.6103381657558</v>
      </c>
      <c r="S39" s="143">
        <f>SUM(F41,F46)</f>
        <v>3057.4698410531282</v>
      </c>
    </row>
    <row r="40" spans="2:19" s="1" customFormat="1">
      <c r="B40" s="8"/>
      <c r="C40" s="355" t="s">
        <v>68</v>
      </c>
      <c r="D40" s="356"/>
      <c r="E40" s="187">
        <f>SUM(E41:E44)</f>
        <v>4276.9269042159995</v>
      </c>
      <c r="F40" s="188">
        <f>SUM(F41:F44)</f>
        <v>4517.7650541296316</v>
      </c>
      <c r="G40" s="189">
        <f>((F40/E40)-1)</f>
        <v>5.6311027826130289E-2</v>
      </c>
      <c r="H40" s="232">
        <f>SUM(H41:H44)</f>
        <v>8962.4807195059984</v>
      </c>
      <c r="I40" s="188">
        <f>SUM(I41:I44)</f>
        <v>9357.0387983821347</v>
      </c>
      <c r="J40" s="189">
        <f>((I40/H40)-1)</f>
        <v>4.4023311315740665E-2</v>
      </c>
      <c r="K40" s="9"/>
      <c r="Q40" s="142" t="s">
        <v>65</v>
      </c>
      <c r="R40" s="143">
        <f>SUM(E42,E47)</f>
        <v>1250.4308680956694</v>
      </c>
      <c r="S40" s="143">
        <f>SUM(F42,F47)</f>
        <v>1439.4426260536625</v>
      </c>
    </row>
    <row r="41" spans="2:19" s="1" customFormat="1">
      <c r="B41" s="8"/>
      <c r="C41" s="153" t="s">
        <v>66</v>
      </c>
      <c r="D41" s="128"/>
      <c r="E41" s="154">
        <v>2957.6993523900001</v>
      </c>
      <c r="F41" s="155">
        <f>D12</f>
        <v>3002.6933427353015</v>
      </c>
      <c r="G41" s="273">
        <f t="shared" ref="G41:G48" si="2">((F41/E41)-1)</f>
        <v>1.5212496262996922E-2</v>
      </c>
      <c r="H41" s="233">
        <v>6335.1164031125008</v>
      </c>
      <c r="I41" s="155">
        <v>5962.6075618153027</v>
      </c>
      <c r="J41" s="273">
        <f t="shared" ref="J41:J48" si="3">((I41/H41)-1)</f>
        <v>-5.8800630895145201E-2</v>
      </c>
      <c r="K41" s="9"/>
      <c r="Q41" s="142" t="s">
        <v>67</v>
      </c>
      <c r="R41" s="143">
        <f>E43</f>
        <v>114.15306832500001</v>
      </c>
      <c r="S41" s="143">
        <f>F43</f>
        <v>126.25052595249994</v>
      </c>
    </row>
    <row r="42" spans="2:19" s="1" customFormat="1">
      <c r="B42" s="8"/>
      <c r="C42" s="153" t="s">
        <v>65</v>
      </c>
      <c r="D42" s="128"/>
      <c r="E42" s="154">
        <v>1141.3065846609993</v>
      </c>
      <c r="F42" s="155">
        <f>D13</f>
        <v>1325.6760526243304</v>
      </c>
      <c r="G42" s="273">
        <f t="shared" si="2"/>
        <v>0.16154245532377631</v>
      </c>
      <c r="H42" s="233">
        <v>2217.3220920909998</v>
      </c>
      <c r="I42" s="155">
        <v>2982.763764741831</v>
      </c>
      <c r="J42" s="273">
        <f t="shared" si="3"/>
        <v>0.34520996087176359</v>
      </c>
      <c r="K42" s="9"/>
      <c r="Q42" s="142" t="s">
        <v>5</v>
      </c>
      <c r="R42" s="143">
        <f>E44</f>
        <v>63.767898840000001</v>
      </c>
      <c r="S42" s="143">
        <f>F44</f>
        <v>63.145132817500013</v>
      </c>
    </row>
    <row r="43" spans="2:19" s="1" customFormat="1">
      <c r="B43" s="8"/>
      <c r="C43" s="153" t="s">
        <v>67</v>
      </c>
      <c r="D43" s="128"/>
      <c r="E43" s="154">
        <v>114.15306832500001</v>
      </c>
      <c r="F43" s="155">
        <f>D14</f>
        <v>126.25052595249994</v>
      </c>
      <c r="G43" s="273">
        <f t="shared" si="2"/>
        <v>0.1059757552294418</v>
      </c>
      <c r="H43" s="233">
        <v>273.32627200249999</v>
      </c>
      <c r="I43" s="155">
        <v>276.72801377999991</v>
      </c>
      <c r="J43" s="273">
        <f t="shared" si="3"/>
        <v>1.2445718271344219E-2</v>
      </c>
      <c r="K43" s="9"/>
    </row>
    <row r="44" spans="2:19" s="1" customFormat="1">
      <c r="B44" s="8"/>
      <c r="C44" s="153" t="s">
        <v>5</v>
      </c>
      <c r="D44" s="128"/>
      <c r="E44" s="154">
        <v>63.767898840000001</v>
      </c>
      <c r="F44" s="155">
        <f>D15</f>
        <v>63.145132817500013</v>
      </c>
      <c r="G44" s="397">
        <f t="shared" si="2"/>
        <v>-9.7661367840042868E-3</v>
      </c>
      <c r="H44" s="233">
        <v>136.7159523</v>
      </c>
      <c r="I44" s="155">
        <v>134.93945804500001</v>
      </c>
      <c r="J44" s="156">
        <f t="shared" si="3"/>
        <v>-1.2994052450454152E-2</v>
      </c>
      <c r="K44" s="9"/>
      <c r="Q44" s="142"/>
      <c r="R44" s="142"/>
      <c r="S44" s="142"/>
    </row>
    <row r="45" spans="2:19" s="1" customFormat="1">
      <c r="B45" s="8"/>
      <c r="C45" s="355" t="s">
        <v>64</v>
      </c>
      <c r="D45" s="356"/>
      <c r="E45" s="187">
        <f>SUM(E46:E47)</f>
        <v>168.03526921042584</v>
      </c>
      <c r="F45" s="188">
        <f>SUM(F46:F47)</f>
        <v>168.54307174715865</v>
      </c>
      <c r="G45" s="189">
        <f t="shared" si="2"/>
        <v>3.0219997213614125E-3</v>
      </c>
      <c r="H45" s="232">
        <f>SUM(H46:H47)</f>
        <v>354.43375150765695</v>
      </c>
      <c r="I45" s="188">
        <f>SUM(I46:I47)</f>
        <v>346.81181407198369</v>
      </c>
      <c r="J45" s="189">
        <f t="shared" si="3"/>
        <v>-2.1504547473968794E-2</v>
      </c>
      <c r="K45" s="9"/>
    </row>
    <row r="46" spans="2:19" s="1" customFormat="1">
      <c r="B46" s="8"/>
      <c r="C46" s="153" t="s">
        <v>66</v>
      </c>
      <c r="D46" s="128"/>
      <c r="E46" s="154">
        <v>58.910985775755798</v>
      </c>
      <c r="F46" s="155">
        <f>E12</f>
        <v>54.776498317826558</v>
      </c>
      <c r="G46" s="156">
        <f t="shared" si="2"/>
        <v>-7.0181943206096276E-2</v>
      </c>
      <c r="H46" s="233">
        <v>127.04138920430688</v>
      </c>
      <c r="I46" s="155">
        <v>111.50230031782657</v>
      </c>
      <c r="J46" s="156">
        <f t="shared" si="3"/>
        <v>-0.12231516818106014</v>
      </c>
      <c r="K46" s="9"/>
    </row>
    <row r="47" spans="2:19" s="1" customFormat="1" ht="13.8" thickBot="1">
      <c r="B47" s="8"/>
      <c r="C47" s="157" t="s">
        <v>65</v>
      </c>
      <c r="D47" s="128"/>
      <c r="E47" s="158">
        <v>109.12428343467005</v>
      </c>
      <c r="F47" s="159">
        <f>E13</f>
        <v>113.76657342933208</v>
      </c>
      <c r="G47" s="293">
        <f t="shared" si="2"/>
        <v>4.2541310224879947E-2</v>
      </c>
      <c r="H47" s="234">
        <v>227.39236230335007</v>
      </c>
      <c r="I47" s="159">
        <v>235.30951375415711</v>
      </c>
      <c r="J47" s="160">
        <f t="shared" si="3"/>
        <v>3.4817138845874007E-2</v>
      </c>
      <c r="K47" s="9"/>
    </row>
    <row r="48" spans="2:19" s="1" customFormat="1" ht="14.4" thickTop="1" thickBot="1">
      <c r="B48" s="8"/>
      <c r="C48" s="357" t="s">
        <v>108</v>
      </c>
      <c r="D48" s="358"/>
      <c r="E48" s="190">
        <f>SUM(E40,E45)</f>
        <v>4444.9621734264256</v>
      </c>
      <c r="F48" s="191">
        <f>SUM(F40,F45)</f>
        <v>4686.3081258767907</v>
      </c>
      <c r="G48" s="192">
        <f t="shared" si="2"/>
        <v>5.4296514353534331E-2</v>
      </c>
      <c r="H48" s="235">
        <f>SUM(H40,H45)</f>
        <v>9316.9144710136552</v>
      </c>
      <c r="I48" s="191">
        <f>SUM(I40,I45)</f>
        <v>9703.8506124541182</v>
      </c>
      <c r="J48" s="192">
        <f t="shared" si="3"/>
        <v>4.1530502683509773E-2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8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64" t="s">
        <v>126</v>
      </c>
      <c r="F54" s="365"/>
      <c r="G54" s="361" t="s">
        <v>74</v>
      </c>
      <c r="H54" s="366" t="s">
        <v>127</v>
      </c>
      <c r="I54" s="367"/>
      <c r="J54" s="361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62"/>
      <c r="H55" s="231">
        <v>2021</v>
      </c>
      <c r="I55" s="151">
        <v>2022</v>
      </c>
      <c r="J55" s="362"/>
      <c r="K55" s="9"/>
      <c r="L55" s="254"/>
      <c r="M55" s="254"/>
    </row>
    <row r="56" spans="2:23" s="1" customFormat="1">
      <c r="B56" s="8"/>
      <c r="C56" s="355" t="s">
        <v>68</v>
      </c>
      <c r="D56" s="356"/>
      <c r="E56" s="187">
        <f>SUM(E57:E60)</f>
        <v>4276.9269042159995</v>
      </c>
      <c r="F56" s="188">
        <f>SUM(F57:F60)</f>
        <v>4517.7650541296316</v>
      </c>
      <c r="G56" s="189">
        <f>((F56/E56)-1)</f>
        <v>5.6311027826130289E-2</v>
      </c>
      <c r="H56" s="232">
        <f>SUM(H57:H60)</f>
        <v>8962.4807195060002</v>
      </c>
      <c r="I56" s="188">
        <f>SUM(I57:I60)</f>
        <v>9357.0387983821329</v>
      </c>
      <c r="J56" s="189">
        <f>((I56/H56)-1)</f>
        <v>4.4023311315740221E-2</v>
      </c>
      <c r="K56" s="9"/>
    </row>
    <row r="57" spans="2:23" s="1" customFormat="1" ht="26.4">
      <c r="B57" s="8"/>
      <c r="C57" s="369" t="s">
        <v>78</v>
      </c>
      <c r="D57" s="275" t="s">
        <v>79</v>
      </c>
      <c r="E57" s="317">
        <f>SUM(E43:E44)+26.252700585</f>
        <v>204.17366774999999</v>
      </c>
      <c r="F57" s="318">
        <f>SUM(F43:F44)+23.8621689472379</f>
        <v>213.25782771723786</v>
      </c>
      <c r="G57" s="167">
        <f t="shared" ref="G57:G65" si="4">((F57/E57)-1)</f>
        <v>4.449231905047113E-2</v>
      </c>
      <c r="H57" s="319">
        <f>SUM(H43:H44)+52.54776</f>
        <v>462.5899843025</v>
      </c>
      <c r="I57" s="318">
        <f>SUM(I43:I44)+51.5930451697379</f>
        <v>463.26051699473777</v>
      </c>
      <c r="J57" s="167">
        <f t="shared" ref="J57:J65" si="5">((I57/H57)-1)</f>
        <v>1.4495183964020608E-3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8">
      <c r="B58" s="8"/>
      <c r="C58" s="370"/>
      <c r="D58" s="276" t="s">
        <v>110</v>
      </c>
      <c r="E58" s="264">
        <v>226.97389977500001</v>
      </c>
      <c r="F58" s="322">
        <v>228.12679370750024</v>
      </c>
      <c r="G58" s="274">
        <f t="shared" si="4"/>
        <v>5.0794119220012313E-3</v>
      </c>
      <c r="H58" s="266">
        <v>480.50030150250006</v>
      </c>
      <c r="I58" s="265">
        <v>408.23843974250042</v>
      </c>
      <c r="J58" s="274">
        <f t="shared" si="5"/>
        <v>-0.15038879587388498</v>
      </c>
      <c r="K58" s="9"/>
      <c r="L58" s="254"/>
      <c r="M58" s="254"/>
      <c r="Q58" s="363" t="s">
        <v>80</v>
      </c>
      <c r="R58" s="142" t="s">
        <v>66</v>
      </c>
      <c r="T58" s="143">
        <f>SUM(E60,E64)</f>
        <v>2789.6364383907558</v>
      </c>
      <c r="U58" s="143">
        <f>SUM(F60,F64)</f>
        <v>2829.3430473456278</v>
      </c>
      <c r="V58" s="144">
        <f t="shared" ref="V58:W61" si="6">T58/T$64</f>
        <v>0.6275950907002541</v>
      </c>
      <c r="W58" s="144">
        <f t="shared" si="6"/>
        <v>0.60374669598070207</v>
      </c>
    </row>
    <row r="59" spans="2:23" s="1" customFormat="1">
      <c r="B59" s="8"/>
      <c r="C59" s="368" t="s">
        <v>80</v>
      </c>
      <c r="D59" s="277" t="s">
        <v>81</v>
      </c>
      <c r="E59" s="154">
        <f>SUM(E42:E44)-E57</f>
        <v>1115.0538840759993</v>
      </c>
      <c r="F59" s="155">
        <f>SUM(F42:F44)-F57</f>
        <v>1301.8138836770925</v>
      </c>
      <c r="G59" s="273">
        <f t="shared" si="4"/>
        <v>0.16748966329627524</v>
      </c>
      <c r="H59" s="233">
        <f>SUM(H42:H44)-H57</f>
        <v>2164.7743320909999</v>
      </c>
      <c r="I59" s="155">
        <f>SUM(I42:I44)-I57</f>
        <v>2931.1707195720928</v>
      </c>
      <c r="J59" s="273">
        <f t="shared" si="5"/>
        <v>0.35403061470190988</v>
      </c>
      <c r="K59" s="9"/>
      <c r="Q59" s="363"/>
      <c r="R59" s="142" t="s">
        <v>65</v>
      </c>
      <c r="T59" s="143">
        <f>SUM(E59,E63)</f>
        <v>1205.3361645106693</v>
      </c>
      <c r="U59" s="143">
        <f>SUM(F59,F63)</f>
        <v>1399.43226582336</v>
      </c>
      <c r="V59" s="144">
        <f t="shared" si="6"/>
        <v>0.27116904879789538</v>
      </c>
      <c r="W59" s="144">
        <f t="shared" si="6"/>
        <v>0.29862147947464118</v>
      </c>
    </row>
    <row r="60" spans="2:23" s="1" customFormat="1">
      <c r="B60" s="8"/>
      <c r="C60" s="368"/>
      <c r="D60" s="278" t="s">
        <v>41</v>
      </c>
      <c r="E60" s="154">
        <f>E41-E58</f>
        <v>2730.725452615</v>
      </c>
      <c r="F60" s="155">
        <f>F41-F58</f>
        <v>2774.5665490278011</v>
      </c>
      <c r="G60" s="156">
        <f t="shared" si="4"/>
        <v>1.605474339092483E-2</v>
      </c>
      <c r="H60" s="233">
        <f>H41-H58</f>
        <v>5854.6161016100004</v>
      </c>
      <c r="I60" s="155">
        <f>I41-I58</f>
        <v>5554.3691220728024</v>
      </c>
      <c r="J60" s="273">
        <f t="shared" si="5"/>
        <v>-5.1283803126669802E-2</v>
      </c>
      <c r="K60" s="9"/>
      <c r="Q60" s="363" t="s">
        <v>78</v>
      </c>
      <c r="R60" s="142" t="s">
        <v>66</v>
      </c>
      <c r="T60" s="143">
        <f>E58</f>
        <v>226.97389977500001</v>
      </c>
      <c r="U60" s="143">
        <f>F58</f>
        <v>228.12679370750024</v>
      </c>
      <c r="V60" s="144">
        <f t="shared" si="6"/>
        <v>5.1063179149629497E-2</v>
      </c>
      <c r="W60" s="144">
        <f t="shared" si="6"/>
        <v>4.8679426870766977E-2</v>
      </c>
    </row>
    <row r="61" spans="2:23" s="1" customFormat="1">
      <c r="B61" s="8"/>
      <c r="C61" s="355" t="s">
        <v>64</v>
      </c>
      <c r="D61" s="356"/>
      <c r="E61" s="187">
        <f>SUM(E62:E64)</f>
        <v>168.03526921042584</v>
      </c>
      <c r="F61" s="188">
        <f>SUM(F62:F64)</f>
        <v>168.54307174715865</v>
      </c>
      <c r="G61" s="189">
        <f t="shared" si="4"/>
        <v>3.0219997213614125E-3</v>
      </c>
      <c r="H61" s="232">
        <f>SUM(H62:H64)</f>
        <v>354.43375150765695</v>
      </c>
      <c r="I61" s="188">
        <f>SUM(I62:I64)</f>
        <v>346.81181407198363</v>
      </c>
      <c r="J61" s="189">
        <f t="shared" si="5"/>
        <v>-2.1504547473968905E-2</v>
      </c>
      <c r="K61" s="9"/>
      <c r="Q61" s="363"/>
      <c r="R61" s="142" t="s">
        <v>89</v>
      </c>
      <c r="T61" s="143">
        <f>E57+E62</f>
        <v>223.01567075</v>
      </c>
      <c r="U61" s="143">
        <f>F57+F62</f>
        <v>229.40601900030236</v>
      </c>
      <c r="V61" s="144">
        <f t="shared" si="6"/>
        <v>5.0172681352221069E-2</v>
      </c>
      <c r="W61" s="144">
        <f t="shared" si="6"/>
        <v>4.8952397673889911E-2</v>
      </c>
    </row>
    <row r="62" spans="2:23" s="1" customFormat="1">
      <c r="B62" s="8"/>
      <c r="C62" s="305" t="s">
        <v>78</v>
      </c>
      <c r="D62" s="306" t="s">
        <v>114</v>
      </c>
      <c r="E62" s="344">
        <v>18.842002999999998</v>
      </c>
      <c r="F62" s="320">
        <v>16.148191283064499</v>
      </c>
      <c r="G62" s="307">
        <f t="shared" si="4"/>
        <v>-0.14296843689789773</v>
      </c>
      <c r="H62" s="321">
        <v>34.048756999999995</v>
      </c>
      <c r="I62" s="320">
        <v>33.400171283064495</v>
      </c>
      <c r="J62" s="307">
        <f t="shared" si="5"/>
        <v>-1.9048734053213723E-2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71" t="s">
        <v>80</v>
      </c>
      <c r="D63" s="277" t="s">
        <v>81</v>
      </c>
      <c r="E63" s="154">
        <f>E47-E62</f>
        <v>90.282280434670042</v>
      </c>
      <c r="F63" s="155">
        <f>F47-F62</f>
        <v>97.618382146267578</v>
      </c>
      <c r="G63" s="273">
        <f t="shared" ref="G63" si="7">((F63/E63)-1)</f>
        <v>8.1257381584485699E-2</v>
      </c>
      <c r="H63" s="233">
        <f>H47-H62</f>
        <v>193.34360530335007</v>
      </c>
      <c r="I63" s="155">
        <f>I47-I62</f>
        <v>201.9093424710926</v>
      </c>
      <c r="J63" s="273">
        <f t="shared" ref="J63" si="8">((I63/H63)-1)</f>
        <v>4.4303183207446306E-2</v>
      </c>
      <c r="K63" s="9"/>
      <c r="Q63" s="142"/>
      <c r="R63" s="142"/>
      <c r="T63" s="142"/>
      <c r="U63" s="142"/>
      <c r="V63" s="142"/>
      <c r="W63" s="142"/>
    </row>
    <row r="64" spans="2:23" s="1" customFormat="1" ht="13.8" thickBot="1">
      <c r="B64" s="8"/>
      <c r="C64" s="372"/>
      <c r="D64" s="279" t="s">
        <v>41</v>
      </c>
      <c r="E64" s="158">
        <f>E46</f>
        <v>58.910985775755798</v>
      </c>
      <c r="F64" s="159">
        <f>F46</f>
        <v>54.776498317826558</v>
      </c>
      <c r="G64" s="160">
        <f t="shared" si="4"/>
        <v>-7.0181943206096276E-2</v>
      </c>
      <c r="H64" s="234">
        <f>H46</f>
        <v>127.04138920430688</v>
      </c>
      <c r="I64" s="159">
        <f>I46</f>
        <v>111.50230031782657</v>
      </c>
      <c r="J64" s="160">
        <f t="shared" si="5"/>
        <v>-0.12231516818106014</v>
      </c>
      <c r="K64" s="9"/>
      <c r="Q64" s="142"/>
      <c r="R64" s="142"/>
      <c r="T64" s="143">
        <f>SUM(T58:T61)</f>
        <v>4444.9621734264247</v>
      </c>
      <c r="U64" s="143">
        <f>SUM(U58:U61)</f>
        <v>4686.3081258767897</v>
      </c>
      <c r="V64" s="142"/>
      <c r="W64" s="142"/>
    </row>
    <row r="65" spans="2:22" s="1" customFormat="1" ht="14.4" thickTop="1" thickBot="1">
      <c r="B65" s="8"/>
      <c r="C65" s="357" t="s">
        <v>108</v>
      </c>
      <c r="D65" s="358"/>
      <c r="E65" s="190">
        <f>SUM(E56,E61)</f>
        <v>4444.9621734264256</v>
      </c>
      <c r="F65" s="191">
        <f>SUM(F56,F61)</f>
        <v>4686.3081258767907</v>
      </c>
      <c r="G65" s="192">
        <f t="shared" si="4"/>
        <v>5.4296514353534331E-2</v>
      </c>
      <c r="H65" s="235">
        <f>SUM(H56,H61)</f>
        <v>9316.914471013657</v>
      </c>
      <c r="I65" s="191">
        <f>SUM(I56,I61)</f>
        <v>9703.8506124541163</v>
      </c>
      <c r="J65" s="192">
        <f t="shared" si="5"/>
        <v>4.1530502683509329E-2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zoomScaleNormal="100" zoomScaleSheetLayoutView="100" workbookViewId="0">
      <selection activeCell="G76" sqref="G76:H77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3057.4698410531282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1302.6955765785647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96.526221083951896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40.01036023030241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126.25052595249994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63.145132817500013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0">
        <f t="shared" si="0"/>
        <v>0.21046816084426437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4686.3081258767916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1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5" t="s">
        <v>61</v>
      </c>
      <c r="D26" s="375" t="s">
        <v>126</v>
      </c>
      <c r="E26" s="375"/>
      <c r="F26" s="376" t="s">
        <v>74</v>
      </c>
      <c r="G26" s="378" t="s">
        <v>127</v>
      </c>
      <c r="H26" s="379"/>
      <c r="I26" s="376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6"/>
      <c r="D27" s="94">
        <v>2021</v>
      </c>
      <c r="E27" s="95">
        <v>2022</v>
      </c>
      <c r="F27" s="377"/>
      <c r="G27" s="236">
        <v>2021</v>
      </c>
      <c r="H27" s="95">
        <v>2022</v>
      </c>
      <c r="I27" s="377"/>
      <c r="J27" s="20"/>
      <c r="K27" s="54"/>
      <c r="L27" s="54"/>
      <c r="M27" s="55" t="s">
        <v>85</v>
      </c>
      <c r="N27" s="70">
        <f t="shared" ref="N27:O29" si="1">D28</f>
        <v>3016.6103381657558</v>
      </c>
      <c r="O27" s="70">
        <f t="shared" si="1"/>
        <v>3057.4698410531282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3016.6103381657558</v>
      </c>
      <c r="E28" s="166">
        <f>'Resumen (G)'!F41+'Resumen (G)'!F46</f>
        <v>3057.4698410531282</v>
      </c>
      <c r="F28" s="167">
        <f>+E28/D28-1</f>
        <v>1.354483950758345E-2</v>
      </c>
      <c r="G28" s="249">
        <f>'Resumen (G)'!H41+'Resumen (G)'!H46</f>
        <v>6462.1577923168079</v>
      </c>
      <c r="H28" s="166">
        <f>'Resumen (G)'!I41+'Resumen (G)'!I46</f>
        <v>6074.1098621331294</v>
      </c>
      <c r="I28" s="167">
        <f>+H28/G28-1</f>
        <v>-6.0049281161943857E-2</v>
      </c>
      <c r="J28" s="294"/>
      <c r="K28" s="54"/>
      <c r="L28" s="54"/>
      <c r="M28" s="55" t="s">
        <v>2</v>
      </c>
      <c r="N28" s="70">
        <f t="shared" si="1"/>
        <v>1131.5728192345002</v>
      </c>
      <c r="O28" s="70">
        <f t="shared" si="1"/>
        <v>1302.6955765785647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1131.5728192345002</v>
      </c>
      <c r="E29" s="170">
        <v>1302.6955765785647</v>
      </c>
      <c r="F29" s="171">
        <f t="shared" ref="F29:F35" si="2">+E29/D29-1</f>
        <v>0.15122558127529739</v>
      </c>
      <c r="G29" s="250">
        <v>2207.2218948895002</v>
      </c>
      <c r="H29" s="170">
        <v>2904.9995925960648</v>
      </c>
      <c r="I29" s="171">
        <f t="shared" ref="I29:I35" si="3">+H29/G29-1</f>
        <v>0.31613391445697725</v>
      </c>
      <c r="J29" s="256"/>
      <c r="K29" s="257"/>
      <c r="L29" s="54"/>
      <c r="M29" s="55" t="s">
        <v>84</v>
      </c>
      <c r="N29" s="70">
        <f t="shared" si="1"/>
        <v>73.558345276169348</v>
      </c>
      <c r="O29" s="70">
        <f t="shared" si="1"/>
        <v>96.526221083951896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73.558345276169348</v>
      </c>
      <c r="E30" s="170">
        <f>'Resumen (G)'!F32-SUM('TipoRecurso (G)'!E28:E29,'TipoRecurso (G)'!E31:E34)</f>
        <v>96.526221083951896</v>
      </c>
      <c r="F30" s="171">
        <f t="shared" si="2"/>
        <v>0.31224024577430831</v>
      </c>
      <c r="G30" s="250">
        <f>'Resumen (G)'!H32-SUM('TipoRecurso (G)'!G28:G29,'TipoRecurso (G)'!G31:G34)</f>
        <v>150.4369935048544</v>
      </c>
      <c r="H30" s="170">
        <f>'Resumen (G)'!I32-SUM('TipoRecurso (G)'!H28:H29,'TipoRecurso (G)'!H31:H34)</f>
        <v>227.65200128627293</v>
      </c>
      <c r="I30" s="171">
        <f t="shared" si="3"/>
        <v>0.51327141005996579</v>
      </c>
      <c r="J30" s="294"/>
      <c r="K30" s="54"/>
      <c r="L30" s="54"/>
      <c r="M30" s="55" t="s">
        <v>4</v>
      </c>
      <c r="N30" s="98">
        <f>D34</f>
        <v>0.20499999999999999</v>
      </c>
      <c r="O30" s="98">
        <f>E34</f>
        <v>0.21046816084426437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169">
        <f>'Resumen (G)'!E57+'Resumen (G)'!E62-SUM('TipoRecurso (G)'!D32:D33)</f>
        <v>45.094703584999991</v>
      </c>
      <c r="E31" s="170">
        <f>'Resumen (G)'!F57+'Resumen (G)'!F62-SUM('TipoRecurso (G)'!E32:E33)</f>
        <v>40.01036023030241</v>
      </c>
      <c r="F31" s="171">
        <f t="shared" si="2"/>
        <v>-0.11274812673098056</v>
      </c>
      <c r="G31" s="250">
        <f>'Resumen (G)'!H57+'Resumen (G)'!H62-SUM('TipoRecurso (G)'!G32:G33)</f>
        <v>86.596516999999949</v>
      </c>
      <c r="H31" s="170">
        <f>'Resumen (G)'!I57+'Resumen (G)'!I62-SUM('TipoRecurso (G)'!H32:H33)</f>
        <v>84.993216452802358</v>
      </c>
      <c r="I31" s="171">
        <f t="shared" si="3"/>
        <v>-1.8514607778019387E-2</v>
      </c>
      <c r="J31" s="20"/>
      <c r="K31" s="54"/>
      <c r="L31" s="54"/>
      <c r="M31" s="55" t="s">
        <v>90</v>
      </c>
      <c r="N31" s="70">
        <f t="shared" ref="N31:O33" si="4">D31</f>
        <v>45.094703584999991</v>
      </c>
      <c r="O31" s="70">
        <f t="shared" si="4"/>
        <v>40.01036023030241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169">
        <f>'Resumen (G)'!E43</f>
        <v>114.15306832500001</v>
      </c>
      <c r="E32" s="170">
        <f>'Resumen (G)'!F43</f>
        <v>126.25052595249994</v>
      </c>
      <c r="F32" s="171">
        <f t="shared" si="2"/>
        <v>0.1059757552294418</v>
      </c>
      <c r="G32" s="250">
        <f>'Resumen (G)'!H43</f>
        <v>273.32627200249999</v>
      </c>
      <c r="H32" s="170">
        <f>'Resumen (G)'!I43</f>
        <v>276.72801377999991</v>
      </c>
      <c r="I32" s="171">
        <f t="shared" si="3"/>
        <v>1.2445718271344219E-2</v>
      </c>
      <c r="J32" s="20"/>
      <c r="K32" s="54"/>
      <c r="L32" s="54"/>
      <c r="M32" s="55" t="s">
        <v>14</v>
      </c>
      <c r="N32" s="70">
        <f t="shared" si="4"/>
        <v>114.15306832500001</v>
      </c>
      <c r="O32" s="70">
        <f t="shared" si="4"/>
        <v>126.25052595249994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169">
        <f>'Resumen (G)'!E44</f>
        <v>63.767898840000001</v>
      </c>
      <c r="E33" s="170">
        <f>'Resumen (G)'!F44</f>
        <v>63.145132817500013</v>
      </c>
      <c r="F33" s="171">
        <f t="shared" si="2"/>
        <v>-9.7661367840042868E-3</v>
      </c>
      <c r="G33" s="250">
        <f>'Resumen (G)'!H44</f>
        <v>136.7159523</v>
      </c>
      <c r="H33" s="170">
        <f>'Resumen (G)'!I44</f>
        <v>134.93945804500001</v>
      </c>
      <c r="I33" s="171">
        <f t="shared" si="3"/>
        <v>-1.2994052450454152E-2</v>
      </c>
      <c r="J33" s="20"/>
      <c r="K33" s="54"/>
      <c r="L33" s="54"/>
      <c r="M33" s="55" t="s">
        <v>5</v>
      </c>
      <c r="N33" s="70">
        <f t="shared" si="4"/>
        <v>63.767898840000001</v>
      </c>
      <c r="O33" s="70">
        <f t="shared" si="4"/>
        <v>63.145132817500013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2" t="s">
        <v>4</v>
      </c>
      <c r="D34" s="352">
        <v>0.20499999999999999</v>
      </c>
      <c r="E34" s="353">
        <v>0.21046816084426437</v>
      </c>
      <c r="F34" s="173">
        <f t="shared" si="2"/>
        <v>2.6673955337874977E-2</v>
      </c>
      <c r="G34" s="348">
        <v>0.45904899999999998</v>
      </c>
      <c r="H34" s="345">
        <v>0.42846816084426437</v>
      </c>
      <c r="I34" s="173">
        <f t="shared" si="3"/>
        <v>-6.6617810202692085E-2</v>
      </c>
      <c r="J34" s="20"/>
      <c r="K34" s="54"/>
      <c r="L34" s="54"/>
      <c r="M34" s="96"/>
      <c r="N34" s="97">
        <f>SUM(N27:N33)</f>
        <v>4444.9621734264265</v>
      </c>
      <c r="O34" s="97">
        <f>SUM(O27:O33)</f>
        <v>4686.3081258767916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7" t="s">
        <v>108</v>
      </c>
      <c r="D35" s="298">
        <f>SUM(D28:D34)</f>
        <v>4444.9621734264265</v>
      </c>
      <c r="E35" s="299">
        <f>SUM(E28:E34)</f>
        <v>4686.3081258767916</v>
      </c>
      <c r="F35" s="300">
        <f t="shared" si="2"/>
        <v>5.4296514353534331E-2</v>
      </c>
      <c r="G35" s="301">
        <f>SUM(G28:G34)</f>
        <v>9316.9144710136607</v>
      </c>
      <c r="H35" s="299">
        <f>SUM(H28:H34)</f>
        <v>9703.8506124541145</v>
      </c>
      <c r="I35" s="302">
        <f t="shared" si="3"/>
        <v>4.1530502683508663E-2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0.67865826984988342</v>
      </c>
      <c r="N40" s="227">
        <f t="shared" si="5"/>
        <v>0.65242612285146884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0.25457422922504208</v>
      </c>
      <c r="N41" s="227">
        <f t="shared" si="5"/>
        <v>0.27797907042973941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1.6548699945283549E-2</v>
      </c>
      <c r="N42" s="227">
        <f t="shared" si="5"/>
        <v>2.0597497751151859E-2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4.6119627569738008E-5</v>
      </c>
      <c r="N43" s="227">
        <f t="shared" si="5"/>
        <v>4.4911293749999955E-5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1.0145126510770385E-2</v>
      </c>
      <c r="N44" s="227">
        <f t="shared" si="5"/>
        <v>8.5377143703747847E-3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2.568144876630174E-2</v>
      </c>
      <c r="N45" s="227">
        <f t="shared" si="5"/>
        <v>2.6940295550642847E-2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1.4346106075148919E-2</v>
      </c>
      <c r="N46" s="227">
        <f t="shared" si="5"/>
        <v>1.3474387752872264E-2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0.99999999999999978</v>
      </c>
      <c r="N49" s="228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73" t="s">
        <v>91</v>
      </c>
      <c r="D53" s="375" t="s">
        <v>126</v>
      </c>
      <c r="E53" s="375"/>
      <c r="F53" s="376" t="s">
        <v>74</v>
      </c>
      <c r="G53" s="378" t="s">
        <v>127</v>
      </c>
      <c r="H53" s="379"/>
      <c r="I53" s="376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74"/>
      <c r="D54" s="94">
        <v>2021</v>
      </c>
      <c r="E54" s="95">
        <v>2022</v>
      </c>
      <c r="F54" s="377"/>
      <c r="G54" s="236">
        <v>2021</v>
      </c>
      <c r="H54" s="95">
        <v>2022</v>
      </c>
      <c r="I54" s="377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4" t="s">
        <v>42</v>
      </c>
      <c r="D55" s="285">
        <f>SUM(D28:D30,D34)</f>
        <v>4221.9465026764256</v>
      </c>
      <c r="E55" s="286">
        <f>SUM(E28:E30,E34)</f>
        <v>4456.9021068764896</v>
      </c>
      <c r="F55" s="287">
        <f>+E55/D55-1</f>
        <v>5.5651014064512339E-2</v>
      </c>
      <c r="G55" s="288">
        <f>SUM(G28:G30,G34)</f>
        <v>8820.2757297111621</v>
      </c>
      <c r="H55" s="286">
        <f>SUM(H28:H30,H34)</f>
        <v>9207.1899241763113</v>
      </c>
      <c r="I55" s="287">
        <f>+H55/G55-1</f>
        <v>4.386645115433585E-2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89" t="s">
        <v>104</v>
      </c>
      <c r="D56" s="392">
        <f>SUM(D31:D33)</f>
        <v>223.01567074999997</v>
      </c>
      <c r="E56" s="290">
        <f>SUM(E31:E33)</f>
        <v>229.40601900030236</v>
      </c>
      <c r="F56" s="395">
        <f>+E56/D56-1</f>
        <v>2.8654256576731596E-2</v>
      </c>
      <c r="G56" s="394">
        <f>SUM(G31:G33)</f>
        <v>496.63874130249997</v>
      </c>
      <c r="H56" s="354">
        <f>SUM(H31:H33)</f>
        <v>496.66068827780225</v>
      </c>
      <c r="I56" s="393">
        <f>+H56/G56-1</f>
        <v>4.4191025542428264E-5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4444.9621734264256</v>
      </c>
      <c r="E57" s="100">
        <f>SUM(E55:E56)</f>
        <v>4686.3081258767916</v>
      </c>
      <c r="F57" s="101">
        <f>+E57/D57-1</f>
        <v>5.4296514353534553E-2</v>
      </c>
      <c r="G57" s="251">
        <f>SUM(G55:G56)</f>
        <v>9316.9144710136625</v>
      </c>
      <c r="H57" s="100">
        <f>SUM(H55:H56)</f>
        <v>9703.8506124541127</v>
      </c>
      <c r="I57" s="101">
        <f>+H57/G57-1</f>
        <v>4.1530502683508219E-2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4" t="s">
        <v>8</v>
      </c>
      <c r="D58" s="102">
        <f>+D56/D57</f>
        <v>5.0172681352221048E-2</v>
      </c>
      <c r="E58" s="103">
        <f>+E56/E57</f>
        <v>4.8952397673889897E-2</v>
      </c>
      <c r="F58" s="104"/>
      <c r="G58" s="252">
        <f>+G56/G57</f>
        <v>5.3305066054606234E-2</v>
      </c>
      <c r="H58" s="103">
        <f>+H56/H57</f>
        <v>5.118181514875942E-2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4221.9465026764256</v>
      </c>
      <c r="N63" s="76">
        <f>E55</f>
        <v>4456.9021068764896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223.01567074999997</v>
      </c>
      <c r="N64" s="76">
        <f>E56</f>
        <v>229.40601900030236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2"/>
      <c r="D76" s="375" t="s">
        <v>126</v>
      </c>
      <c r="E76" s="375"/>
      <c r="F76" s="105" t="s">
        <v>74</v>
      </c>
      <c r="G76" s="378" t="s">
        <v>127</v>
      </c>
      <c r="H76" s="379"/>
      <c r="I76" s="225" t="s">
        <v>74</v>
      </c>
      <c r="J76" s="19"/>
      <c r="K76" s="57"/>
      <c r="L76" s="57"/>
      <c r="M76" s="55" t="s">
        <v>96</v>
      </c>
      <c r="N76" s="70">
        <f>D78</f>
        <v>2.2009832449999998</v>
      </c>
      <c r="O76" s="70">
        <f>E78</f>
        <v>6.7642679100000001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90" t="s">
        <v>95</v>
      </c>
      <c r="D77" s="391">
        <v>2021</v>
      </c>
      <c r="E77" s="95">
        <v>2022</v>
      </c>
      <c r="F77" s="106"/>
      <c r="G77" s="340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4274.7259209709991</v>
      </c>
      <c r="O77" s="70">
        <f>E79</f>
        <v>4511.0007862196317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2.2009832449999998</v>
      </c>
      <c r="E78" s="351">
        <v>6.7642679100000001</v>
      </c>
      <c r="F78" s="156">
        <f>((E78/D78)-1)</f>
        <v>2.0732936860680193</v>
      </c>
      <c r="G78" s="233">
        <v>2.5565785624999999</v>
      </c>
      <c r="H78" s="351">
        <v>58.023835442500001</v>
      </c>
      <c r="I78" s="156">
        <f>((H78/G78)-1)</f>
        <v>21.695893759572272</v>
      </c>
      <c r="J78" s="19"/>
      <c r="K78" s="255"/>
      <c r="L78" s="57"/>
    </row>
    <row r="79" spans="2:28" ht="16.5" customHeight="1" thickBot="1">
      <c r="C79" s="291" t="s">
        <v>97</v>
      </c>
      <c r="D79" s="158">
        <f>'Resumen (G)'!E40-D78</f>
        <v>4274.7259209709991</v>
      </c>
      <c r="E79" s="323">
        <f>'Resumen (G)'!F40-E78</f>
        <v>4511.0007862196317</v>
      </c>
      <c r="F79" s="160">
        <f>((E79/D79)-1)</f>
        <v>5.5272517961797885E-2</v>
      </c>
      <c r="G79" s="234">
        <f>'Resumen (G)'!H40-G78</f>
        <v>8959.9241409434981</v>
      </c>
      <c r="H79" s="323">
        <f>'Resumen (G)'!I40-H78</f>
        <v>9299.0149629396346</v>
      </c>
      <c r="I79" s="160">
        <f>((H79/G79)-1)</f>
        <v>3.7845278225807633E-2</v>
      </c>
      <c r="J79" s="19"/>
      <c r="K79" s="57"/>
      <c r="L79" s="57"/>
      <c r="M79" s="70"/>
      <c r="N79" s="70"/>
      <c r="O79" s="70"/>
    </row>
    <row r="80" spans="2:28" ht="14.4" thickTop="1" thickBot="1">
      <c r="C80" s="125" t="s">
        <v>94</v>
      </c>
      <c r="D80" s="229">
        <f>SUM(D78:D79)</f>
        <v>4276.9269042159995</v>
      </c>
      <c r="E80" s="324">
        <f>SUM(E78:E79)</f>
        <v>4517.7650541296316</v>
      </c>
      <c r="F80" s="126"/>
      <c r="G80" s="253">
        <f>SUM(G78:G79)</f>
        <v>8962.4807195059984</v>
      </c>
      <c r="H80" s="324">
        <f>SUM(H78:H79)</f>
        <v>9357.0387983821347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zoomScale="90" zoomScaleNormal="100" zoomScaleSheetLayoutView="90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87" t="s">
        <v>126</v>
      </c>
      <c r="E8" s="388"/>
      <c r="F8" s="376" t="s">
        <v>74</v>
      </c>
      <c r="G8" s="378" t="s">
        <v>127</v>
      </c>
      <c r="H8" s="379"/>
      <c r="I8" s="376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77"/>
      <c r="G9" s="340">
        <v>2021</v>
      </c>
      <c r="H9" s="95">
        <v>2022</v>
      </c>
      <c r="I9" s="377"/>
      <c r="J9" s="26"/>
    </row>
    <row r="10" spans="2:13">
      <c r="C10" s="193" t="s">
        <v>10</v>
      </c>
      <c r="D10" s="194">
        <f>'Por Región (G)'!O8</f>
        <v>295.48085306663927</v>
      </c>
      <c r="E10" s="195">
        <f>'Por Región (G)'!P8</f>
        <v>339.87436311750002</v>
      </c>
      <c r="F10" s="196">
        <f>+E10/D10-1</f>
        <v>0.15024157941241878</v>
      </c>
      <c r="G10" s="335">
        <f>'Por Región (G)'!Q8</f>
        <v>618.85447427677855</v>
      </c>
      <c r="H10" s="195">
        <f>'Por Región (G)'!R8</f>
        <v>693.7529289226394</v>
      </c>
      <c r="I10" s="196">
        <f>+H10/G10-1</f>
        <v>0.12102757232771166</v>
      </c>
      <c r="J10" s="26"/>
      <c r="L10" s="142" t="s">
        <v>9</v>
      </c>
      <c r="M10" s="230">
        <f>E11</f>
        <v>3749.6291219242921</v>
      </c>
    </row>
    <row r="11" spans="2:13">
      <c r="C11" s="197" t="s">
        <v>9</v>
      </c>
      <c r="D11" s="198">
        <f>'Por Región (G)'!O9</f>
        <v>3530.472064069942</v>
      </c>
      <c r="E11" s="199">
        <f>'Por Región (G)'!P9</f>
        <v>3749.6291219242921</v>
      </c>
      <c r="F11" s="200">
        <f>+E11/D11-1</f>
        <v>6.207585101288271E-2</v>
      </c>
      <c r="G11" s="336">
        <f>'Por Región (G)'!Q9</f>
        <v>7361.2590502406802</v>
      </c>
      <c r="H11" s="199">
        <f>'Por Región (G)'!R9</f>
        <v>7723.3049950739778</v>
      </c>
      <c r="I11" s="200">
        <f>+H11/G11-1</f>
        <v>4.9182611610640192E-2</v>
      </c>
      <c r="J11" s="26"/>
      <c r="L11" s="142" t="s">
        <v>12</v>
      </c>
      <c r="M11" s="230">
        <f>E12</f>
        <v>561.35464083499994</v>
      </c>
    </row>
    <row r="12" spans="2:13">
      <c r="C12" s="197" t="s">
        <v>12</v>
      </c>
      <c r="D12" s="198">
        <f>'Por Región (G)'!O10</f>
        <v>587.78869879651177</v>
      </c>
      <c r="E12" s="199">
        <f>'Por Región (G)'!P10</f>
        <v>561.35464083499994</v>
      </c>
      <c r="F12" s="200">
        <f>+E12/D12-1</f>
        <v>-4.4972041850473099E-2</v>
      </c>
      <c r="G12" s="336">
        <f>'Por Región (G)'!Q10</f>
        <v>1270.7858012695333</v>
      </c>
      <c r="H12" s="199">
        <f>'Por Región (G)'!R10</f>
        <v>1214.6561472341668</v>
      </c>
      <c r="I12" s="200">
        <f>+H12/G12-1</f>
        <v>-4.4169248648585846E-2</v>
      </c>
      <c r="J12" s="26"/>
      <c r="L12" s="142" t="s">
        <v>10</v>
      </c>
      <c r="M12" s="230">
        <f>E10</f>
        <v>339.87436311750002</v>
      </c>
    </row>
    <row r="13" spans="2:13">
      <c r="C13" s="201" t="s">
        <v>11</v>
      </c>
      <c r="D13" s="202">
        <f>'Por Región (G)'!O11</f>
        <v>31.220557493333345</v>
      </c>
      <c r="E13" s="203">
        <f>'Por Región (G)'!P11</f>
        <v>35.450000000000003</v>
      </c>
      <c r="F13" s="204">
        <f>+E13/D13-1</f>
        <v>0.13546979446378526</v>
      </c>
      <c r="G13" s="337">
        <f>'Por Región (G)'!Q11</f>
        <v>66.015145226666675</v>
      </c>
      <c r="H13" s="203">
        <f>'Por Región (G)'!R11</f>
        <v>72.136541223333339</v>
      </c>
      <c r="I13" s="204">
        <f>+H13/G13-1</f>
        <v>9.2727145803413791E-2</v>
      </c>
      <c r="J13" s="26"/>
      <c r="L13" s="142" t="s">
        <v>11</v>
      </c>
      <c r="M13" s="230">
        <f>E13</f>
        <v>35.450000000000003</v>
      </c>
    </row>
    <row r="14" spans="2:13" ht="13.8" thickBot="1">
      <c r="C14" s="207" t="s">
        <v>108</v>
      </c>
      <c r="D14" s="208">
        <f>SUM(D10:D13)</f>
        <v>4444.9621734264265</v>
      </c>
      <c r="E14" s="209">
        <f>SUM(E10:E13)</f>
        <v>4686.3081258767925</v>
      </c>
      <c r="F14" s="210">
        <f>+E14/D14-1</f>
        <v>5.4296514353534553E-2</v>
      </c>
      <c r="G14" s="338">
        <f>SUM(G10:G13)</f>
        <v>9316.9144710136588</v>
      </c>
      <c r="H14" s="209">
        <f>SUM(H10:H13)</f>
        <v>9703.8506124541182</v>
      </c>
      <c r="I14" s="210">
        <f>+H14/G14-1</f>
        <v>4.1530502683509329E-2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84" t="s">
        <v>93</v>
      </c>
      <c r="D18" s="384"/>
      <c r="E18" s="384"/>
      <c r="F18" s="384"/>
      <c r="G18" s="385" t="s">
        <v>107</v>
      </c>
      <c r="H18" s="386"/>
      <c r="I18" s="386"/>
      <c r="J18" s="386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0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80" t="s">
        <v>13</v>
      </c>
      <c r="D54" s="382" t="s">
        <v>131</v>
      </c>
      <c r="E54" s="383"/>
      <c r="F54" s="383"/>
      <c r="G54" s="383"/>
      <c r="H54" s="383"/>
      <c r="I54" s="19"/>
      <c r="J54" s="19"/>
    </row>
    <row r="55" spans="3:13">
      <c r="C55" s="381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3">
      <c r="C56" s="212" t="s">
        <v>10</v>
      </c>
      <c r="D56" s="331">
        <f>'Resumen (G)'!F14-'PorZona (G)'!D58</f>
        <v>72.573809999999938</v>
      </c>
      <c r="E56" s="216">
        <v>162.0459015758158</v>
      </c>
      <c r="F56" s="216">
        <v>0</v>
      </c>
      <c r="G56" s="216">
        <v>105.25465154168427</v>
      </c>
      <c r="H56" s="216">
        <f>SUM(D56:G56)</f>
        <v>339.87436311750002</v>
      </c>
      <c r="I56" s="326"/>
      <c r="K56" s="303"/>
      <c r="L56" s="316"/>
      <c r="M56" s="316"/>
    </row>
    <row r="57" spans="3:13">
      <c r="C57" s="213" t="s">
        <v>9</v>
      </c>
      <c r="D57" s="332">
        <v>0</v>
      </c>
      <c r="E57" s="217">
        <v>2476.5505712530339</v>
      </c>
      <c r="F57" s="333">
        <v>6.4619999999999999E-3</v>
      </c>
      <c r="G57" s="217">
        <v>1273.0720886712584</v>
      </c>
      <c r="H57" s="217">
        <f>SUM(D57:G57)</f>
        <v>3749.6291219242921</v>
      </c>
      <c r="I57" s="326"/>
      <c r="K57" s="303"/>
      <c r="L57" s="316"/>
      <c r="M57" s="316"/>
    </row>
    <row r="58" spans="3:13">
      <c r="C58" s="213" t="s">
        <v>12</v>
      </c>
      <c r="D58" s="332">
        <v>53.676715952500004</v>
      </c>
      <c r="E58" s="217">
        <v>418.87336822427829</v>
      </c>
      <c r="F58" s="217">
        <f>'Resumen (G)'!D15</f>
        <v>63.145132817500013</v>
      </c>
      <c r="G58" s="217">
        <v>25.659423840721615</v>
      </c>
      <c r="H58" s="217">
        <f>SUM(D58:G58)</f>
        <v>561.35464083499994</v>
      </c>
      <c r="I58" s="326"/>
      <c r="K58" s="303"/>
      <c r="L58" s="316"/>
      <c r="M58" s="316"/>
    </row>
    <row r="59" spans="3:13">
      <c r="C59" s="214" t="s">
        <v>11</v>
      </c>
      <c r="D59" s="334">
        <v>0</v>
      </c>
      <c r="E59" s="218">
        <v>0</v>
      </c>
      <c r="F59" s="218">
        <v>0</v>
      </c>
      <c r="G59" s="218">
        <f>E13</f>
        <v>35.450000000000003</v>
      </c>
      <c r="H59" s="218">
        <f>SUM(D59:G59)</f>
        <v>35.450000000000003</v>
      </c>
      <c r="I59" s="326"/>
      <c r="K59" s="19"/>
      <c r="L59" s="316"/>
      <c r="M59" s="316"/>
    </row>
    <row r="60" spans="3:13" ht="13.8" thickBot="1">
      <c r="C60" s="114" t="s">
        <v>108</v>
      </c>
      <c r="D60" s="219">
        <f>SUM(D56:D59)</f>
        <v>126.25052595249994</v>
      </c>
      <c r="E60" s="220">
        <f>SUM(E56:E59)</f>
        <v>3057.4698410531278</v>
      </c>
      <c r="F60" s="220">
        <f>SUM(F56:F59)</f>
        <v>63.151594817500012</v>
      </c>
      <c r="G60" s="220">
        <f>SUM(G56:G59)</f>
        <v>1439.4361640536642</v>
      </c>
      <c r="H60" s="220">
        <f>SUM(H56:H59)</f>
        <v>4686.3081258767925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29"/>
      <c r="H64" s="121"/>
    </row>
    <row r="65" spans="5:5">
      <c r="E65" s="121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90" zoomScaleNormal="100" zoomScaleSheetLayoutView="90" workbookViewId="0">
      <selection activeCell="B1" sqref="B1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7" t="s">
        <v>60</v>
      </c>
      <c r="D6" s="387" t="s">
        <v>126</v>
      </c>
      <c r="E6" s="388"/>
      <c r="F6" s="376" t="s">
        <v>74</v>
      </c>
      <c r="G6" s="378" t="s">
        <v>127</v>
      </c>
      <c r="H6" s="379"/>
      <c r="I6" s="376" t="s">
        <v>74</v>
      </c>
      <c r="O6" s="47"/>
      <c r="P6" s="86"/>
      <c r="Q6" s="389" t="s">
        <v>116</v>
      </c>
      <c r="R6" s="389"/>
    </row>
    <row r="7" spans="3:19" ht="12.75" customHeight="1">
      <c r="C7" s="108"/>
      <c r="D7" s="109">
        <v>2021</v>
      </c>
      <c r="E7" s="95">
        <v>2022</v>
      </c>
      <c r="F7" s="377"/>
      <c r="G7" s="236">
        <v>2021</v>
      </c>
      <c r="H7" s="95">
        <v>2022</v>
      </c>
      <c r="I7" s="377"/>
      <c r="N7" s="54"/>
      <c r="O7" s="313">
        <v>2021</v>
      </c>
      <c r="P7" s="315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346">
        <v>2.8476880000000002</v>
      </c>
      <c r="E8" s="347">
        <v>4.5253000000000005</v>
      </c>
      <c r="F8" s="222">
        <f>+E8/D8-1</f>
        <v>0.58911369503962518</v>
      </c>
      <c r="G8" s="398">
        <v>6.1192719999999996</v>
      </c>
      <c r="H8" s="347">
        <v>9.4252720000000014</v>
      </c>
      <c r="I8" s="222">
        <f>+H8/G8-1</f>
        <v>0.54026034469459794</v>
      </c>
      <c r="J8" s="26"/>
      <c r="K8" s="46"/>
      <c r="L8" s="46"/>
      <c r="N8" s="57" t="s">
        <v>10</v>
      </c>
      <c r="O8" s="71">
        <f>SUM(D8,D13,D20,D21,D27,D29,D31)</f>
        <v>295.48085306663927</v>
      </c>
      <c r="P8" s="71">
        <f t="shared" ref="P8" si="0">SUM(E8,E13,E20,E21,E27,E29,E31)</f>
        <v>339.87436311750002</v>
      </c>
      <c r="Q8" s="71">
        <f>SUM(G8,G13,G20,G21,G27,G29,G31)</f>
        <v>618.85447427677855</v>
      </c>
      <c r="R8" s="71">
        <f>SUM(H8,H13,H20,H21,H27,H29,H31)</f>
        <v>693.7529289226394</v>
      </c>
    </row>
    <row r="9" spans="3:19" ht="20.100000000000001" customHeight="1">
      <c r="C9" s="117" t="s">
        <v>18</v>
      </c>
      <c r="D9" s="221">
        <v>222.13094523700005</v>
      </c>
      <c r="E9" s="281">
        <v>254.1463000049998</v>
      </c>
      <c r="F9" s="223">
        <f t="shared" ref="F9:F32" si="1">+E9/D9-1</f>
        <v>0.14412829663981008</v>
      </c>
      <c r="G9" s="237">
        <v>503.69889061450016</v>
      </c>
      <c r="H9" s="281">
        <v>489.74626474249987</v>
      </c>
      <c r="I9" s="292">
        <f t="shared" ref="I9:I32" si="2">+H9/G9-1</f>
        <v>-2.7700330757088665E-2</v>
      </c>
      <c r="J9" s="26"/>
      <c r="K9" s="46"/>
      <c r="L9" s="46"/>
      <c r="N9" s="57" t="s">
        <v>9</v>
      </c>
      <c r="O9" s="313">
        <f>SUM(D9,D14,D16,D17,D19,D22,D26,D32)</f>
        <v>3530.472064069942</v>
      </c>
      <c r="P9" s="313">
        <f>SUM(E9,E14,E16,E17,E19,E22,E26,E32)</f>
        <v>3749.6291219242921</v>
      </c>
      <c r="Q9" s="313">
        <f>SUM(G9,G14,G16,G17,G19,G22,G26,G32)</f>
        <v>7361.2590502406802</v>
      </c>
      <c r="R9" s="313">
        <f>SUM(H9,H14,H16,H17,H19,H22,H26,H32)</f>
        <v>7723.3049950739778</v>
      </c>
    </row>
    <row r="10" spans="3:19" ht="20.100000000000001" customHeight="1">
      <c r="C10" s="118" t="s">
        <v>19</v>
      </c>
      <c r="D10" s="342">
        <v>4.4543929999999996</v>
      </c>
      <c r="E10" s="308">
        <v>4.4002400000000002</v>
      </c>
      <c r="F10" s="223">
        <f t="shared" si="1"/>
        <v>-1.2157211992744998E-2</v>
      </c>
      <c r="G10" s="237">
        <v>8.4635809999999996</v>
      </c>
      <c r="H10" s="281">
        <v>8.8993659999999988</v>
      </c>
      <c r="I10" s="223">
        <f t="shared" si="2"/>
        <v>5.1489434554947699E-2</v>
      </c>
      <c r="J10" s="26"/>
      <c r="K10" s="46"/>
      <c r="L10" s="46"/>
      <c r="N10" s="54" t="s">
        <v>12</v>
      </c>
      <c r="O10" s="313">
        <f>SUM(D10,D11,D12,D15,D18,D24,D25,D28,D30)</f>
        <v>587.78869879651177</v>
      </c>
      <c r="P10" s="313">
        <f t="shared" ref="P10" si="3">SUM(E10,E11,E12,E15,E18,E24,E25,E28,E30)</f>
        <v>561.35464083499994</v>
      </c>
      <c r="Q10" s="313">
        <f>SUM(G10,G11,G12,G15,G18,G24,G25,G28,G30)</f>
        <v>1270.7858012695333</v>
      </c>
      <c r="R10" s="313">
        <f>SUM(H10,H11,H12,H15,H18,H24,H25,H28,H30)</f>
        <v>1214.6561472341668</v>
      </c>
    </row>
    <row r="11" spans="3:19" ht="20.100000000000001" customHeight="1">
      <c r="C11" s="117" t="s">
        <v>20</v>
      </c>
      <c r="D11" s="221">
        <v>97.134004884999996</v>
      </c>
      <c r="E11" s="281">
        <v>87.324590325000031</v>
      </c>
      <c r="F11" s="292">
        <f t="shared" si="1"/>
        <v>-0.10098847022331303</v>
      </c>
      <c r="G11" s="237">
        <v>219.81884943250003</v>
      </c>
      <c r="H11" s="281">
        <v>184.97154138750003</v>
      </c>
      <c r="I11" s="223">
        <f t="shared" si="2"/>
        <v>-0.1585273880514082</v>
      </c>
      <c r="J11" s="26"/>
      <c r="K11" s="46"/>
      <c r="L11" s="46"/>
      <c r="N11" s="314" t="s">
        <v>11</v>
      </c>
      <c r="O11" s="71">
        <f>D23</f>
        <v>31.220557493333345</v>
      </c>
      <c r="P11" s="71">
        <f t="shared" ref="P11" si="4">E23</f>
        <v>35.450000000000003</v>
      </c>
      <c r="Q11" s="71">
        <f>G23</f>
        <v>66.015145226666675</v>
      </c>
      <c r="R11" s="71">
        <f>H23</f>
        <v>72.136541223333339</v>
      </c>
    </row>
    <row r="12" spans="3:19" ht="20.100000000000001" customHeight="1">
      <c r="C12" s="117" t="s">
        <v>21</v>
      </c>
      <c r="D12" s="342">
        <v>1.1053210000000002</v>
      </c>
      <c r="E12" s="308">
        <v>1.0606199999999999</v>
      </c>
      <c r="F12" s="223">
        <f t="shared" si="1"/>
        <v>-4.0441645458649811E-2</v>
      </c>
      <c r="G12" s="341">
        <v>2.1321850000000002</v>
      </c>
      <c r="H12" s="308">
        <v>2.1556170000000003</v>
      </c>
      <c r="I12" s="223">
        <f t="shared" si="2"/>
        <v>1.0989665530899195E-2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118.87751212449999</v>
      </c>
      <c r="E13" s="281">
        <v>133.02914336500007</v>
      </c>
      <c r="F13" s="223">
        <f t="shared" si="1"/>
        <v>0.11904380389185065</v>
      </c>
      <c r="G13" s="237">
        <v>258.06232472199997</v>
      </c>
      <c r="H13" s="281">
        <v>282.46109395000008</v>
      </c>
      <c r="I13" s="223">
        <f t="shared" si="2"/>
        <v>9.4546033615266811E-2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113.58379853031076</v>
      </c>
      <c r="E14" s="281">
        <v>152.05158576000002</v>
      </c>
      <c r="F14" s="223">
        <f t="shared" si="1"/>
        <v>0.3386731886715677</v>
      </c>
      <c r="G14" s="237">
        <v>382.95568448062153</v>
      </c>
      <c r="H14" s="281">
        <v>346.2136223553108</v>
      </c>
      <c r="I14" s="223">
        <f t="shared" si="2"/>
        <v>-9.5943378344524821E-2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183.09959961401171</v>
      </c>
      <c r="E15" s="281">
        <v>182.44625117000007</v>
      </c>
      <c r="F15" s="223">
        <f t="shared" si="1"/>
        <v>-3.5682680103558129E-3</v>
      </c>
      <c r="G15" s="237">
        <v>384.84306617203339</v>
      </c>
      <c r="H15" s="281">
        <v>382.06601933166678</v>
      </c>
      <c r="I15" s="339">
        <f t="shared" si="2"/>
        <v>-7.2160500850110276E-3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915.32777827250004</v>
      </c>
      <c r="E16" s="281">
        <v>853.41637808179155</v>
      </c>
      <c r="F16" s="223">
        <f t="shared" si="1"/>
        <v>-6.7638502469087092E-2</v>
      </c>
      <c r="G16" s="237">
        <v>1923.5021916800001</v>
      </c>
      <c r="H16" s="281">
        <v>1788.9592645217915</v>
      </c>
      <c r="I16" s="292">
        <f t="shared" si="2"/>
        <v>-6.9946854097783895E-2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295.10728459083327</v>
      </c>
      <c r="E17" s="281">
        <v>322.53362063000026</v>
      </c>
      <c r="F17" s="223">
        <f t="shared" si="1"/>
        <v>9.293683169222211E-2</v>
      </c>
      <c r="G17" s="237">
        <v>648.58042769666667</v>
      </c>
      <c r="H17" s="281">
        <v>585.01149240583356</v>
      </c>
      <c r="I17" s="292">
        <f t="shared" si="2"/>
        <v>-9.8012416928133894E-2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116.44003737416665</v>
      </c>
      <c r="E18" s="281">
        <v>101.60764941500003</v>
      </c>
      <c r="F18" s="223">
        <f t="shared" si="1"/>
        <v>-0.12738219854313904</v>
      </c>
      <c r="G18" s="237">
        <v>266.05764221083325</v>
      </c>
      <c r="H18" s="281">
        <v>245.61671490416674</v>
      </c>
      <c r="I18" s="223">
        <f t="shared" si="2"/>
        <v>-7.6828942543467393E-2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297.86318481416674</v>
      </c>
      <c r="E19" s="281">
        <v>327.31518264250013</v>
      </c>
      <c r="F19" s="223">
        <f t="shared" si="1"/>
        <v>9.8877603308741069E-2</v>
      </c>
      <c r="G19" s="237">
        <v>619.72822703083341</v>
      </c>
      <c r="H19" s="281">
        <v>624.09373517916686</v>
      </c>
      <c r="I19" s="292">
        <f t="shared" si="2"/>
        <v>7.0442299671404918E-3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57.095984179633945</v>
      </c>
      <c r="E20" s="281">
        <v>94.693088517500016</v>
      </c>
      <c r="F20" s="292">
        <f t="shared" si="1"/>
        <v>0.65848946958474364</v>
      </c>
      <c r="G20" s="237">
        <v>121.09152052226791</v>
      </c>
      <c r="H20" s="281">
        <v>158.91625598263397</v>
      </c>
      <c r="I20" s="223">
        <f t="shared" si="2"/>
        <v>0.31236485673999237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342">
        <v>5.2068888591666687</v>
      </c>
      <c r="E21" s="308">
        <v>5.3472523899999995</v>
      </c>
      <c r="F21" s="223">
        <f t="shared" si="1"/>
        <v>2.6957274224554073E-2</v>
      </c>
      <c r="G21" s="237">
        <v>10.981804705833335</v>
      </c>
      <c r="H21" s="281">
        <v>10.477449664166667</v>
      </c>
      <c r="I21" s="223">
        <f t="shared" si="2"/>
        <v>-4.5926426045326041E-2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1581.3743013267979</v>
      </c>
      <c r="E22" s="281">
        <v>1739.0656777575005</v>
      </c>
      <c r="F22" s="223">
        <f t="shared" si="1"/>
        <v>9.9717932875472259E-2</v>
      </c>
      <c r="G22" s="237">
        <v>3066.4738220513909</v>
      </c>
      <c r="H22" s="281">
        <v>3694.5735154760423</v>
      </c>
      <c r="I22" s="223">
        <f t="shared" si="2"/>
        <v>0.20482799784818284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31.220557493333345</v>
      </c>
      <c r="E23" s="281">
        <v>35.450000000000003</v>
      </c>
      <c r="F23" s="223">
        <f t="shared" si="1"/>
        <v>0.13546979446378526</v>
      </c>
      <c r="G23" s="237">
        <v>66.015145226666675</v>
      </c>
      <c r="H23" s="281">
        <v>72.136541223333339</v>
      </c>
      <c r="I23" s="223">
        <f t="shared" si="2"/>
        <v>9.2727145803413791E-2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349">
        <v>0.11183328499999999</v>
      </c>
      <c r="E24" s="350">
        <v>0.10754981999999999</v>
      </c>
      <c r="F24" s="223">
        <f t="shared" si="1"/>
        <v>-3.8302237120191873E-2</v>
      </c>
      <c r="G24" s="341">
        <v>0.25288325</v>
      </c>
      <c r="H24" s="308">
        <v>0.19888794500000001</v>
      </c>
      <c r="I24" s="292">
        <f t="shared" si="2"/>
        <v>-0.21351870873219159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56.618584118333338</v>
      </c>
      <c r="E25" s="281">
        <v>56.397722187500001</v>
      </c>
      <c r="F25" s="223">
        <f t="shared" si="1"/>
        <v>-3.9008734370985509E-3</v>
      </c>
      <c r="G25" s="237">
        <v>121.90339044666668</v>
      </c>
      <c r="H25" s="281">
        <v>121.02247523083334</v>
      </c>
      <c r="I25" s="223">
        <f t="shared" si="2"/>
        <v>-7.2263389279458856E-3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89.446737819999996</v>
      </c>
      <c r="E26" s="281">
        <v>89.277321062499979</v>
      </c>
      <c r="F26" s="223">
        <f t="shared" si="1"/>
        <v>-1.8940518304976228E-3</v>
      </c>
      <c r="G26" s="237">
        <v>194.58520142500004</v>
      </c>
      <c r="H26" s="281">
        <v>181.30198957249996</v>
      </c>
      <c r="I26" s="223">
        <f t="shared" si="2"/>
        <v>-6.8264244943723962E-2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106.67999090333866</v>
      </c>
      <c r="E27" s="281">
        <v>97.71846884499999</v>
      </c>
      <c r="F27" s="223">
        <f t="shared" si="1"/>
        <v>-8.4003775988869323E-2</v>
      </c>
      <c r="G27" s="237">
        <v>213.42276932667733</v>
      </c>
      <c r="H27" s="281">
        <v>223.51612532583866</v>
      </c>
      <c r="I27" s="223">
        <f t="shared" si="2"/>
        <v>4.7292779636421312E-2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221">
        <v>115.39832508249999</v>
      </c>
      <c r="E28" s="281">
        <v>114.79145748249992</v>
      </c>
      <c r="F28" s="223">
        <f t="shared" si="1"/>
        <v>-5.2588943519432663E-3</v>
      </c>
      <c r="G28" s="237">
        <v>239.21314323750002</v>
      </c>
      <c r="H28" s="281">
        <v>242.05817261499993</v>
      </c>
      <c r="I28" s="223">
        <f t="shared" si="2"/>
        <v>1.1893282028718977E-2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342">
        <v>3.6722410000000001</v>
      </c>
      <c r="E29" s="308">
        <v>3.4605600000000001</v>
      </c>
      <c r="F29" s="223">
        <f t="shared" si="1"/>
        <v>-5.7643547904399517E-2</v>
      </c>
      <c r="G29" s="237">
        <v>6.9756869999999997</v>
      </c>
      <c r="H29" s="281">
        <v>6.7556339999999997</v>
      </c>
      <c r="I29" s="292">
        <f t="shared" si="2"/>
        <v>-3.1545710121454684E-2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13.426600437499999</v>
      </c>
      <c r="E30" s="281">
        <v>13.218560435000001</v>
      </c>
      <c r="F30" s="339">
        <f t="shared" si="1"/>
        <v>-1.5494614848219568E-2</v>
      </c>
      <c r="G30" s="237">
        <v>28.101060520000001</v>
      </c>
      <c r="H30" s="281">
        <v>27.667352820000005</v>
      </c>
      <c r="I30" s="223">
        <f t="shared" si="2"/>
        <v>-1.543385523444285E-2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1.1005480000000003</v>
      </c>
      <c r="E31" s="281">
        <v>1.1005499999999999</v>
      </c>
      <c r="F31" s="292">
        <f>+E31/D31-1</f>
        <v>1.8172764837398603E-6</v>
      </c>
      <c r="G31" s="237">
        <v>2.2010960000000006</v>
      </c>
      <c r="H31" s="281">
        <v>2.201098</v>
      </c>
      <c r="I31" s="223">
        <f t="shared" si="2"/>
        <v>9.0863824175890784E-7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15.638033478333334</v>
      </c>
      <c r="E32" s="282">
        <v>11.823055985</v>
      </c>
      <c r="F32" s="224">
        <f t="shared" si="1"/>
        <v>-0.24395506625682994</v>
      </c>
      <c r="G32" s="238">
        <v>21.734605261666669</v>
      </c>
      <c r="H32" s="282">
        <v>13.405110820833332</v>
      </c>
      <c r="I32" s="224">
        <f t="shared" si="2"/>
        <v>-0.38323651801139769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5" t="s">
        <v>108</v>
      </c>
      <c r="D33" s="110">
        <f>SUM(D8:D32)</f>
        <v>4444.9621734264274</v>
      </c>
      <c r="E33" s="283">
        <f>SUM(E8:E32)</f>
        <v>4686.3081258767925</v>
      </c>
      <c r="F33" s="115">
        <f>+E33/D33-1</f>
        <v>5.4296514353534331E-2</v>
      </c>
      <c r="G33" s="239">
        <f>SUM(G8:G32)</f>
        <v>9316.9144710136588</v>
      </c>
      <c r="H33" s="283">
        <f>SUM(H8:H32)</f>
        <v>9703.8506124541163</v>
      </c>
      <c r="I33" s="240">
        <f>+H33/G33-1</f>
        <v>4.1530502683509107E-2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1739.0656777575005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853.41637808179155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327.31518264250013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322.53362063000026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254.1463000049998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182.44625117000007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59</v>
      </c>
      <c r="O50" s="52">
        <v>152.05158576000002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133.02914336500007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36</v>
      </c>
      <c r="O52" s="53">
        <v>114.79145748249992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101.60764941500003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35</v>
      </c>
      <c r="O54" s="53">
        <v>97.71846884499999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28</v>
      </c>
      <c r="O55" s="52">
        <v>94.693088517500016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89.277321062499979</v>
      </c>
      <c r="P56" s="8"/>
      <c r="S56" s="91"/>
    </row>
    <row r="57" spans="3:19">
      <c r="N57" s="51" t="s">
        <v>20</v>
      </c>
      <c r="O57" s="52">
        <v>87.324590325000031</v>
      </c>
      <c r="S57" s="91"/>
    </row>
    <row r="58" spans="3:19">
      <c r="N58" s="51" t="s">
        <v>33</v>
      </c>
      <c r="O58" s="52">
        <v>56.397722187500001</v>
      </c>
      <c r="S58" s="120"/>
    </row>
    <row r="59" spans="3:19">
      <c r="N59" s="51" t="s">
        <v>31</v>
      </c>
      <c r="O59" s="52">
        <v>35.450000000000003</v>
      </c>
      <c r="S59" s="91"/>
    </row>
    <row r="60" spans="3:19">
      <c r="N60" s="51" t="s">
        <v>38</v>
      </c>
      <c r="O60" s="52">
        <v>13.218560435000001</v>
      </c>
      <c r="S60" s="91"/>
    </row>
    <row r="61" spans="3:19">
      <c r="N61" s="51" t="s">
        <v>40</v>
      </c>
      <c r="O61" s="52">
        <v>11.823055985</v>
      </c>
      <c r="S61" s="91"/>
    </row>
    <row r="62" spans="3:19">
      <c r="N62" s="51" t="s">
        <v>29</v>
      </c>
      <c r="O62" s="52">
        <v>5.3472523899999995</v>
      </c>
      <c r="S62" s="91"/>
    </row>
    <row r="63" spans="3:19">
      <c r="N63" s="50" t="s">
        <v>17</v>
      </c>
      <c r="O63" s="53">
        <v>4.5253000000000005</v>
      </c>
      <c r="S63" s="91"/>
    </row>
    <row r="64" spans="3:19">
      <c r="N64" s="50" t="s">
        <v>19</v>
      </c>
      <c r="O64" s="53">
        <v>4.4002400000000002</v>
      </c>
      <c r="S64" s="91"/>
    </row>
    <row r="65" spans="6:19">
      <c r="N65" s="50" t="s">
        <v>37</v>
      </c>
      <c r="O65" s="53">
        <v>3.4605600000000001</v>
      </c>
      <c r="S65" s="91"/>
    </row>
    <row r="66" spans="6:19">
      <c r="N66" s="50" t="s">
        <v>39</v>
      </c>
      <c r="O66" s="53">
        <v>1.1005499999999999</v>
      </c>
      <c r="S66" s="91"/>
    </row>
    <row r="67" spans="6:19">
      <c r="N67" s="51" t="s">
        <v>21</v>
      </c>
      <c r="O67" s="52">
        <v>1.0606199999999999</v>
      </c>
      <c r="S67" s="91"/>
    </row>
    <row r="68" spans="6:19">
      <c r="N68" s="9" t="s">
        <v>32</v>
      </c>
      <c r="O68" s="52">
        <v>0.10754981999999999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2022-03-22T02:03:24Z</dcterms:modified>
</cp:coreProperties>
</file>